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3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elmad\Documents\BAMB\D9\validation\website\"/>
    </mc:Choice>
  </mc:AlternateContent>
  <xr:revisionPtr revIDLastSave="0" documentId="8_{7E175ABB-5252-4271-811F-5C0FCA7A55D9}" xr6:coauthVersionLast="40" xr6:coauthVersionMax="40" xr10:uidLastSave="{00000000-0000-0000-0000-000000000000}"/>
  <bookViews>
    <workbookView xWindow="-96" yWindow="-96" windowWidth="23232" windowHeight="12552" xr2:uid="{00000000-000D-0000-FFFF-FFFF00000000}"/>
  </bookViews>
  <sheets>
    <sheet name="TC output" sheetId="3" r:id="rId1"/>
    <sheet name="TC input" sheetId="1" r:id="rId2"/>
    <sheet name="TC anayse" sheetId="2" r:id="rId3"/>
  </sheets>
  <definedNames>
    <definedName name="_xlchart.v1.0" hidden="1">'TC output'!$B$7:$E$26</definedName>
    <definedName name="_xlchart.v1.1" hidden="1">'TC output'!$F$7:$F$26</definedName>
    <definedName name="_xlnm.Print_Area" localSheetId="0">'TC output'!$A$1:$R$36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2" i="2" l="1"/>
  <c r="E12" i="2" l="1"/>
  <c r="E11" i="2"/>
  <c r="E10" i="2"/>
  <c r="E9" i="2"/>
  <c r="J11" i="1"/>
  <c r="I11" i="1"/>
  <c r="H11" i="1"/>
  <c r="G11" i="1"/>
  <c r="U8" i="2"/>
  <c r="G14" i="1" l="1"/>
  <c r="I50" i="1"/>
  <c r="H50" i="1"/>
  <c r="G50" i="1"/>
  <c r="K50" i="1" s="1"/>
  <c r="J50" i="1" l="1"/>
  <c r="K12" i="2"/>
  <c r="K11" i="2"/>
  <c r="K10" i="2"/>
  <c r="K9" i="2"/>
  <c r="I32" i="1" l="1"/>
  <c r="H32" i="1"/>
  <c r="G32" i="1"/>
  <c r="I26" i="1"/>
  <c r="H26" i="1"/>
  <c r="G26" i="1"/>
  <c r="I23" i="1"/>
  <c r="H23" i="1"/>
  <c r="G23" i="1"/>
  <c r="C2" i="2" l="1"/>
  <c r="B8" i="1"/>
  <c r="I38" i="1" l="1"/>
  <c r="N11" i="2" s="1"/>
  <c r="H38" i="1"/>
  <c r="N10" i="2" s="1"/>
  <c r="L11" i="2"/>
  <c r="L10" i="2"/>
  <c r="G38" i="1"/>
  <c r="N9" i="2" s="1"/>
  <c r="L9" i="2"/>
  <c r="I58" i="1"/>
  <c r="H58" i="1"/>
  <c r="G58" i="1"/>
  <c r="I57" i="1"/>
  <c r="H57" i="1"/>
  <c r="G57" i="1"/>
  <c r="J57" i="1" s="1"/>
  <c r="I56" i="1"/>
  <c r="H56" i="1"/>
  <c r="G56" i="1"/>
  <c r="I55" i="1"/>
  <c r="H55" i="1"/>
  <c r="G55" i="1"/>
  <c r="I54" i="1"/>
  <c r="H54" i="1"/>
  <c r="G54" i="1"/>
  <c r="I53" i="1"/>
  <c r="H53" i="1"/>
  <c r="G53" i="1"/>
  <c r="I47" i="1"/>
  <c r="Q11" i="2" s="1"/>
  <c r="H47" i="1"/>
  <c r="Q10" i="2" s="1"/>
  <c r="G47" i="1"/>
  <c r="Q9" i="2" s="1"/>
  <c r="J53" i="1" l="1"/>
  <c r="J55" i="1"/>
  <c r="J54" i="1"/>
  <c r="S11" i="2"/>
  <c r="J58" i="1"/>
  <c r="J32" i="1"/>
  <c r="L12" i="2" s="1"/>
  <c r="J38" i="1"/>
  <c r="N12" i="2" s="1"/>
  <c r="S9" i="2"/>
  <c r="S10" i="2"/>
  <c r="J56" i="1"/>
  <c r="J47" i="1"/>
  <c r="Q12" i="2" s="1"/>
  <c r="I44" i="1"/>
  <c r="P11" i="2" s="1"/>
  <c r="H44" i="1"/>
  <c r="P10" i="2" s="1"/>
  <c r="G44" i="1"/>
  <c r="P9" i="2" s="1"/>
  <c r="S12" i="2" l="1"/>
  <c r="J44" i="1"/>
  <c r="P12" i="2" s="1"/>
  <c r="I7" i="1"/>
  <c r="C11" i="2" s="1"/>
  <c r="H7" i="1"/>
  <c r="C10" i="2" s="1"/>
  <c r="G7" i="1"/>
  <c r="C9" i="2" s="1"/>
  <c r="R11" i="2"/>
  <c r="V11" i="2" s="1"/>
  <c r="R10" i="2"/>
  <c r="V10" i="2" s="1"/>
  <c r="R9" i="2"/>
  <c r="V9" i="2" s="1"/>
  <c r="F20" i="3" l="1"/>
  <c r="R12" i="2"/>
  <c r="J7" i="1"/>
  <c r="C12" i="2" s="1"/>
  <c r="I29" i="1"/>
  <c r="H29" i="1"/>
  <c r="G29" i="1"/>
  <c r="J11" i="2"/>
  <c r="J10" i="2"/>
  <c r="J9" i="2"/>
  <c r="I11" i="2"/>
  <c r="I10" i="2"/>
  <c r="I9" i="2"/>
  <c r="F26" i="3" l="1"/>
  <c r="J29" i="1"/>
  <c r="J26" i="1"/>
  <c r="J12" i="2" s="1"/>
  <c r="J23" i="1"/>
  <c r="I12" i="2" s="1"/>
  <c r="I35" i="1"/>
  <c r="M11" i="2" s="1"/>
  <c r="H35" i="1"/>
  <c r="M10" i="2" s="1"/>
  <c r="G35" i="1"/>
  <c r="M9" i="2" s="1"/>
  <c r="I20" i="1"/>
  <c r="H11" i="2" s="1"/>
  <c r="H20" i="1"/>
  <c r="H10" i="2" s="1"/>
  <c r="G20" i="1"/>
  <c r="H9" i="2" s="1"/>
  <c r="I17" i="1"/>
  <c r="G11" i="2" s="1"/>
  <c r="H17" i="1"/>
  <c r="G10" i="2" s="1"/>
  <c r="G17" i="1"/>
  <c r="G9" i="2" s="1"/>
  <c r="I14" i="1"/>
  <c r="F11" i="2" s="1"/>
  <c r="H14" i="1"/>
  <c r="F10" i="2" s="1"/>
  <c r="F9" i="2"/>
  <c r="F13" i="3" l="1"/>
  <c r="J35" i="1"/>
  <c r="M12" i="2" s="1"/>
  <c r="J20" i="1"/>
  <c r="H12" i="2" s="1"/>
  <c r="J17" i="1"/>
  <c r="G12" i="2" s="1"/>
  <c r="J14" i="1"/>
  <c r="F12" i="2" s="1"/>
  <c r="I41" i="1"/>
  <c r="O11" i="2" s="1"/>
  <c r="H41" i="1"/>
  <c r="O10" i="2" s="1"/>
  <c r="G41" i="1" l="1"/>
  <c r="O9" i="2" l="1"/>
  <c r="J41" i="1"/>
  <c r="O12" i="2" s="1"/>
  <c r="I4" i="1"/>
  <c r="B11" i="2" s="1"/>
  <c r="U11" i="2" s="1"/>
  <c r="H4" i="1"/>
  <c r="B10" i="2" s="1"/>
  <c r="U10" i="2" s="1"/>
  <c r="W11" i="2" l="1"/>
  <c r="G4" i="1"/>
  <c r="W10" i="2" l="1"/>
  <c r="B9" i="2"/>
  <c r="U9" i="2" s="1"/>
  <c r="J4" i="1"/>
  <c r="B12" i="2" s="1"/>
  <c r="F7" i="3" l="1"/>
  <c r="V12" i="2"/>
  <c r="U12" i="2"/>
  <c r="I34" i="3" l="1"/>
  <c r="O34" i="3"/>
  <c r="L34" i="3"/>
  <c r="W9" i="2"/>
</calcChain>
</file>

<file path=xl/sharedStrings.xml><?xml version="1.0" encoding="utf-8"?>
<sst xmlns="http://schemas.openxmlformats.org/spreadsheetml/2006/main" count="205" uniqueCount="135">
  <si>
    <t>cross-wall structure</t>
  </si>
  <si>
    <t>post-and-beam structure</t>
  </si>
  <si>
    <t>load-bearing-façade structure</t>
  </si>
  <si>
    <t>type of structure</t>
  </si>
  <si>
    <t>housing TC</t>
  </si>
  <si>
    <t>office TC</t>
  </si>
  <si>
    <t>education TC</t>
  </si>
  <si>
    <t>total TC</t>
  </si>
  <si>
    <t>structural span (mm)</t>
  </si>
  <si>
    <t>typology 1</t>
  </si>
  <si>
    <t>typology 2</t>
  </si>
  <si>
    <t>typology 3</t>
  </si>
  <si>
    <t>building's typology</t>
  </si>
  <si>
    <t>building's depth (m)</t>
  </si>
  <si>
    <t>type of floor structure</t>
  </si>
  <si>
    <t>solid-floor structure</t>
  </si>
  <si>
    <t>beam structure</t>
  </si>
  <si>
    <t>floor-to-floor height (mm)</t>
  </si>
  <si>
    <r>
      <t xml:space="preserve">atrium depth (m) </t>
    </r>
    <r>
      <rPr>
        <b/>
        <sz val="11"/>
        <color theme="1" tint="0.499984740745262"/>
        <rFont val="Calibri"/>
        <family val="2"/>
        <scheme val="minor"/>
      </rPr>
      <t>(if applicable)</t>
    </r>
  </si>
  <si>
    <t></t>
  </si>
  <si>
    <t>angle of the building's "breakpoint"</t>
  </si>
  <si>
    <t>integration of the service, communication and loadbearing cores</t>
  </si>
  <si>
    <t>all cores are integrated</t>
  </si>
  <si>
    <t>at least one other core is integrated with the loadbearing core</t>
  </si>
  <si>
    <t>there is no integration of cores</t>
  </si>
  <si>
    <t>yes</t>
  </si>
  <si>
    <t>no</t>
  </si>
  <si>
    <t>maximum distance (m) to a communication core</t>
  </si>
  <si>
    <t>are such routes placed in a separate fire compartment</t>
  </si>
  <si>
    <t>the main core's size (m2)</t>
  </si>
  <si>
    <t>communication core's positioning</t>
  </si>
  <si>
    <t>central</t>
  </si>
  <si>
    <t>peripheral</t>
  </si>
  <si>
    <t>service core's positioning</t>
  </si>
  <si>
    <t>off-centre</t>
  </si>
  <si>
    <t>service core's orientation</t>
  </si>
  <si>
    <t>parallel to the building's long side</t>
  </si>
  <si>
    <t>parallel to the building's short side</t>
  </si>
  <si>
    <t>floor's load-bearing capacity (kn/m2)</t>
  </si>
  <si>
    <t>typology 4.1</t>
  </si>
  <si>
    <t>typology 4.2</t>
  </si>
  <si>
    <t>typology 4.3</t>
  </si>
  <si>
    <t>integration of horizontal services net</t>
  </si>
  <si>
    <t>access to horizontal services net</t>
  </si>
  <si>
    <t>the horizontal services net is integrated within the load-bearing structure</t>
  </si>
  <si>
    <t>the horizontal services net is located in a separate zone (not integrated)</t>
  </si>
  <si>
    <t>access points are included</t>
  </si>
  <si>
    <t>there are no access point</t>
  </si>
  <si>
    <t>space (height) for the distribution of services (mm)</t>
  </si>
  <si>
    <t>integration of elements with load-bearing structure</t>
  </si>
  <si>
    <t>façade and main load-bearing structure are integrated</t>
  </si>
  <si>
    <t>façade and main load-bearing structure are separated</t>
  </si>
  <si>
    <t>installations and main load-bearing structure are integrated</t>
  </si>
  <si>
    <t>installations and main load-bearing structure are separated</t>
  </si>
  <si>
    <t>partitioning and main load-bearing structure are integrated</t>
  </si>
  <si>
    <t>partitioning and main load-bearing structure are separated</t>
  </si>
  <si>
    <t>floor and main load-bearing structure are integrated</t>
  </si>
  <si>
    <t>floor and main load-bearing structure are separated</t>
  </si>
  <si>
    <t>roof and main load-bearing structure are integrated</t>
  </si>
  <si>
    <t>roof and main load-bearing structure are separated</t>
  </si>
  <si>
    <t>finishing and main load-bearing structure are integrated</t>
  </si>
  <si>
    <t>finishing and main load-bearing structure are separated</t>
  </si>
  <si>
    <t>positioning of the horizontal services net</t>
  </si>
  <si>
    <t>positioning of the horizontal ventilation net</t>
  </si>
  <si>
    <t>RULE 1</t>
  </si>
  <si>
    <t>RULE 2</t>
  </si>
  <si>
    <t>RULE 4</t>
  </si>
  <si>
    <t>RULE 5</t>
  </si>
  <si>
    <t>RULE 6</t>
  </si>
  <si>
    <t>RULE 11</t>
  </si>
  <si>
    <t>RULE 7</t>
  </si>
  <si>
    <t>RULE 13</t>
  </si>
  <si>
    <t>RULE 8</t>
  </si>
  <si>
    <t>RULE 9</t>
  </si>
  <si>
    <t>RULE 16</t>
  </si>
  <si>
    <t>RULE 14</t>
  </si>
  <si>
    <t>RULE 15</t>
  </si>
  <si>
    <t>RULE 17b</t>
  </si>
  <si>
    <t>RULE 17a</t>
  </si>
  <si>
    <t>RULE 17c</t>
  </si>
  <si>
    <t>RULE 17d</t>
  </si>
  <si>
    <t>RULE 17e</t>
  </si>
  <si>
    <t>RULE 17f</t>
  </si>
  <si>
    <t>RULE 10</t>
  </si>
  <si>
    <t>TC=STC*2 + TTC</t>
  </si>
  <si>
    <t>rule 3 depth in reltion to hight</t>
  </si>
  <si>
    <t>spatial</t>
  </si>
  <si>
    <t>technical</t>
  </si>
  <si>
    <t>ST</t>
  </si>
  <si>
    <t>TT</t>
  </si>
  <si>
    <t>TC</t>
  </si>
  <si>
    <t>Weighting</t>
  </si>
  <si>
    <t>Results - Offices</t>
  </si>
  <si>
    <t>Results - Housing</t>
  </si>
  <si>
    <t>Resuls - Education</t>
  </si>
  <si>
    <t>Results - Total</t>
  </si>
  <si>
    <t>RULE 12</t>
  </si>
  <si>
    <t xml:space="preserve">RULE 10  </t>
  </si>
  <si>
    <t xml:space="preserve">RULE 11  </t>
  </si>
  <si>
    <t xml:space="preserve">RULE 12  </t>
  </si>
  <si>
    <t xml:space="preserve">RULE 13  </t>
  </si>
  <si>
    <t xml:space="preserve">RULE 14  </t>
  </si>
  <si>
    <t xml:space="preserve">RULE 15   </t>
  </si>
  <si>
    <t xml:space="preserve">RULE 16  </t>
  </si>
  <si>
    <t xml:space="preserve">RULE 17  </t>
  </si>
  <si>
    <t>floor's load-bearing capacity</t>
  </si>
  <si>
    <t>space (height) for the distribution of services</t>
  </si>
  <si>
    <t>the main core's size</t>
  </si>
  <si>
    <t>building's depth</t>
  </si>
  <si>
    <t>rule 8</t>
  </si>
  <si>
    <t>rule 7</t>
  </si>
  <si>
    <t>rule 10</t>
  </si>
  <si>
    <t>central and off-centre (if multiple cores)</t>
  </si>
  <si>
    <t>TRANSFORMATION CAPACITY TOOL</t>
  </si>
  <si>
    <t xml:space="preserve">TRANSFORMATION CAPACITY </t>
  </si>
  <si>
    <t>DIMENSION</t>
  </si>
  <si>
    <t>POSITION</t>
  </si>
  <si>
    <t>DISASSEMBLY</t>
  </si>
  <si>
    <t>CAPACITY</t>
  </si>
  <si>
    <t>SPATIAL TRANSFORMATION</t>
  </si>
  <si>
    <t>TECHNICAL TRANSFORMATION</t>
  </si>
  <si>
    <t>TC INDICATORS</t>
  </si>
  <si>
    <t>For more information contact: E.Durmisevic@4darchitects.nl; E.Durmisevic@utwente.nl</t>
  </si>
  <si>
    <t xml:space="preserve">INPUT </t>
  </si>
  <si>
    <t>OUTPUT</t>
  </si>
  <si>
    <t>RULE 3</t>
  </si>
  <si>
    <t>building extention</t>
  </si>
  <si>
    <t>building extensibility</t>
  </si>
  <si>
    <t>vertical structure has capacity to extend vertically or horizontally</t>
  </si>
  <si>
    <t xml:space="preserve">TYPE IN YES/NO IN DEDICATED FIELD </t>
  </si>
  <si>
    <t>Project neme:</t>
  </si>
  <si>
    <t>Assesor :</t>
  </si>
  <si>
    <t>Date:</t>
  </si>
  <si>
    <t>floor-to-floor height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</si>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</sst>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sz val="11"/>
      <color theme="1" tint="0.499984740745262"/>
      <name val="Wingdings 3"/>
      <family val="1"/>
      <charset val="2"/>
    </font>
    <font>
      <sz val="11"/>
      <color theme="1" tint="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54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33FF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1" fillId="2" borderId="0" xfId="0" applyFont="1" applyFill="1"/>
    <xf numFmtId="0" fontId="0" fillId="4" borderId="0" xfId="0" applyFill="1" applyAlignment="1">
      <alignment textRotation="90" wrapText="1"/>
    </xf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0" borderId="1" xfId="0" applyBorder="1"/>
    <xf numFmtId="164" fontId="0" fillId="0" borderId="1" xfId="0" applyNumberFormat="1" applyBorder="1"/>
    <xf numFmtId="165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6" fillId="7" borderId="4" xfId="0" applyFont="1" applyFill="1" applyBorder="1" applyAlignment="1">
      <alignment textRotation="90" wrapText="1"/>
    </xf>
    <xf numFmtId="0" fontId="6" fillId="7" borderId="4" xfId="0" applyFont="1" applyFill="1" applyBorder="1" applyAlignment="1">
      <alignment textRotation="90"/>
    </xf>
    <xf numFmtId="0" fontId="6" fillId="4" borderId="4" xfId="0" applyFont="1" applyFill="1" applyBorder="1" applyAlignment="1">
      <alignment textRotation="90" wrapText="1"/>
    </xf>
    <xf numFmtId="0" fontId="5" fillId="4" borderId="4" xfId="0" applyFont="1" applyFill="1" applyBorder="1" applyAlignment="1">
      <alignment textRotation="90" wrapText="1"/>
    </xf>
    <xf numFmtId="0" fontId="5" fillId="5" borderId="4" xfId="0" applyFont="1" applyFill="1" applyBorder="1" applyAlignment="1">
      <alignment textRotation="90" wrapText="1"/>
    </xf>
    <xf numFmtId="0" fontId="1" fillId="0" borderId="5" xfId="0" applyFont="1" applyBorder="1"/>
    <xf numFmtId="0" fontId="5" fillId="5" borderId="5" xfId="0" applyFont="1" applyFill="1" applyBorder="1" applyAlignment="1">
      <alignment textRotation="90" wrapText="1"/>
    </xf>
    <xf numFmtId="0" fontId="1" fillId="3" borderId="0" xfId="0" applyFont="1" applyFill="1"/>
    <xf numFmtId="0" fontId="1" fillId="8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2" borderId="1" xfId="0" applyFill="1" applyBorder="1"/>
    <xf numFmtId="0" fontId="1" fillId="0" borderId="6" xfId="0" applyFont="1" applyBorder="1"/>
    <xf numFmtId="0" fontId="5" fillId="6" borderId="6" xfId="0" applyFont="1" applyFill="1" applyBorder="1" applyAlignment="1">
      <alignment textRotation="90" wrapText="1"/>
    </xf>
    <xf numFmtId="0" fontId="0" fillId="12" borderId="0" xfId="0" applyFill="1"/>
    <xf numFmtId="0" fontId="0" fillId="13" borderId="0" xfId="0" applyFill="1"/>
    <xf numFmtId="0" fontId="0" fillId="14" borderId="0" xfId="0" applyFill="1"/>
    <xf numFmtId="0" fontId="1" fillId="15" borderId="0" xfId="0" applyFont="1" applyFill="1" applyAlignment="1">
      <alignment horizontal="left"/>
    </xf>
    <xf numFmtId="0" fontId="1" fillId="15" borderId="0" xfId="0" applyFont="1" applyFill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9" borderId="1" xfId="0" applyFill="1" applyBorder="1"/>
    <xf numFmtId="0" fontId="0" fillId="16" borderId="1" xfId="0" applyFill="1" applyBorder="1"/>
    <xf numFmtId="0" fontId="0" fillId="12" borderId="1" xfId="0" applyFill="1" applyBorder="1"/>
    <xf numFmtId="0" fontId="0" fillId="0" borderId="2" xfId="0" applyBorder="1" applyAlignment="1">
      <alignment horizontal="left"/>
    </xf>
    <xf numFmtId="0" fontId="0" fillId="9" borderId="2" xfId="0" applyFill="1" applyBorder="1"/>
    <xf numFmtId="0" fontId="0" fillId="16" borderId="2" xfId="0" applyFill="1" applyBorder="1"/>
    <xf numFmtId="0" fontId="0" fillId="12" borderId="2" xfId="0" applyFill="1" applyBorder="1"/>
    <xf numFmtId="0" fontId="1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16" borderId="0" xfId="0" applyFill="1"/>
    <xf numFmtId="0" fontId="3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8" fillId="0" borderId="0" xfId="0" applyFont="1"/>
    <xf numFmtId="0" fontId="13" fillId="9" borderId="0" xfId="0" applyFont="1" applyFill="1" applyAlignment="1">
      <alignment horizontal="left" vertical="center" readingOrder="1"/>
    </xf>
    <xf numFmtId="0" fontId="13" fillId="9" borderId="0" xfId="0" applyFont="1" applyFill="1"/>
    <xf numFmtId="0" fontId="0" fillId="3" borderId="0" xfId="0" applyFill="1"/>
    <xf numFmtId="0" fontId="0" fillId="15" borderId="0" xfId="0" applyFill="1"/>
    <xf numFmtId="0" fontId="17" fillId="9" borderId="0" xfId="0" applyFont="1" applyFill="1" applyAlignment="1">
      <alignment horizontal="center"/>
    </xf>
    <xf numFmtId="0" fontId="16" fillId="9" borderId="0" xfId="0" applyFont="1" applyFill="1" applyAlignment="1">
      <alignment horizontal="center"/>
    </xf>
    <xf numFmtId="0" fontId="14" fillId="17" borderId="0" xfId="0" applyFont="1" applyFill="1"/>
    <xf numFmtId="0" fontId="14" fillId="3" borderId="0" xfId="0" applyFont="1" applyFill="1"/>
    <xf numFmtId="0" fontId="7" fillId="3" borderId="0" xfId="0" applyFont="1" applyFill="1"/>
    <xf numFmtId="0" fontId="13" fillId="15" borderId="0" xfId="0" applyFont="1" applyFill="1" applyAlignment="1">
      <alignment horizontal="left" vertical="center" readingOrder="1"/>
    </xf>
    <xf numFmtId="0" fontId="13" fillId="15" borderId="0" xfId="0" applyFont="1" applyFill="1"/>
    <xf numFmtId="165" fontId="1" fillId="9" borderId="0" xfId="0" applyNumberFormat="1" applyFont="1" applyFill="1"/>
    <xf numFmtId="165" fontId="1" fillId="18" borderId="0" xfId="0" applyNumberFormat="1" applyFont="1" applyFill="1"/>
    <xf numFmtId="0" fontId="1" fillId="18" borderId="0" xfId="0" applyFont="1" applyFill="1"/>
    <xf numFmtId="165" fontId="0" fillId="18" borderId="0" xfId="0" applyNumberFormat="1" applyFill="1"/>
    <xf numFmtId="0" fontId="0" fillId="18" borderId="0" xfId="0" applyFill="1"/>
    <xf numFmtId="0" fontId="0" fillId="19" borderId="1" xfId="0" applyFill="1" applyBorder="1" applyAlignment="1">
      <alignment horizontal="left"/>
    </xf>
    <xf numFmtId="0" fontId="0" fillId="19" borderId="2" xfId="0" applyFill="1" applyBorder="1" applyAlignment="1">
      <alignment horizontal="left"/>
    </xf>
    <xf numFmtId="0" fontId="1" fillId="19" borderId="1" xfId="0" applyFont="1" applyFill="1" applyBorder="1" applyAlignment="1">
      <alignment horizontal="left"/>
    </xf>
    <xf numFmtId="0" fontId="0" fillId="19" borderId="0" xfId="0" applyFill="1" applyAlignment="1">
      <alignment horizontal="left"/>
    </xf>
    <xf numFmtId="0" fontId="4" fillId="19" borderId="0" xfId="0" applyFont="1" applyFill="1" applyAlignment="1">
      <alignment horizontal="left"/>
    </xf>
    <xf numFmtId="0" fontId="1" fillId="19" borderId="1" xfId="0" applyFont="1" applyFill="1" applyBorder="1"/>
    <xf numFmtId="0" fontId="0" fillId="19" borderId="0" xfId="0" applyFill="1"/>
    <xf numFmtId="0" fontId="0" fillId="19" borderId="1" xfId="0" applyFill="1" applyBorder="1"/>
    <xf numFmtId="0" fontId="0" fillId="19" borderId="2" xfId="0" applyFill="1" applyBorder="1"/>
    <xf numFmtId="0" fontId="3" fillId="19" borderId="0" xfId="0" applyFont="1" applyFill="1" applyAlignment="1">
      <alignment horizontal="left"/>
    </xf>
    <xf numFmtId="0" fontId="15" fillId="0" borderId="7" xfId="0" applyFont="1" applyBorder="1"/>
    <xf numFmtId="0" fontId="8" fillId="0" borderId="9" xfId="0" applyFont="1" applyBorder="1"/>
    <xf numFmtId="0" fontId="8" fillId="0" borderId="7" xfId="0" applyFont="1" applyBorder="1"/>
    <xf numFmtId="0" fontId="15" fillId="0" borderId="4" xfId="0" applyFont="1" applyBorder="1"/>
    <xf numFmtId="0" fontId="15" fillId="0" borderId="9" xfId="0" applyFont="1" applyBorder="1"/>
    <xf numFmtId="0" fontId="9" fillId="15" borderId="0" xfId="0" applyFont="1" applyFill="1"/>
    <xf numFmtId="0" fontId="10" fillId="20" borderId="0" xfId="0" applyFont="1" applyFill="1"/>
    <xf numFmtId="0" fontId="0" fillId="20" borderId="0" xfId="0" applyFill="1"/>
    <xf numFmtId="0" fontId="10" fillId="4" borderId="0" xfId="0" applyFont="1" applyFill="1" applyAlignment="1">
      <alignment horizontal="left"/>
    </xf>
    <xf numFmtId="0" fontId="0" fillId="4" borderId="0" xfId="0" applyFill="1" applyAlignment="1">
      <alignment horizontal="left"/>
    </xf>
    <xf numFmtId="0" fontId="14" fillId="0" borderId="0" xfId="0" applyFont="1"/>
    <xf numFmtId="0" fontId="14" fillId="2" borderId="8" xfId="0" applyFont="1" applyFill="1" applyBorder="1"/>
    <xf numFmtId="0" fontId="14" fillId="2" borderId="10" xfId="0" applyFont="1" applyFill="1" applyBorder="1"/>
    <xf numFmtId="164" fontId="14" fillId="2" borderId="5" xfId="0" applyNumberFormat="1" applyFont="1" applyFill="1" applyBorder="1"/>
    <xf numFmtId="0" fontId="14" fillId="2" borderId="5" xfId="0" applyFont="1" applyFill="1" applyBorder="1"/>
    <xf numFmtId="164" fontId="14" fillId="2" borderId="10" xfId="0" applyNumberFormat="1" applyFont="1" applyFill="1" applyBorder="1"/>
    <xf numFmtId="0" fontId="14" fillId="15" borderId="0" xfId="0" applyFont="1" applyFill="1" applyAlignment="1">
      <alignment horizontal="center"/>
    </xf>
    <xf numFmtId="164" fontId="14" fillId="2" borderId="8" xfId="0" applyNumberFormat="1" applyFont="1" applyFill="1" applyBorder="1"/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8" fillId="0" borderId="4" xfId="0" applyFont="1" applyBorder="1"/>
    <xf numFmtId="0" fontId="0" fillId="19" borderId="11" xfId="0" applyFill="1" applyBorder="1"/>
    <xf numFmtId="0" fontId="0" fillId="5" borderId="0" xfId="0" applyFill="1" applyAlignment="1">
      <alignment textRotation="90" wrapText="1"/>
    </xf>
    <xf numFmtId="0" fontId="18" fillId="17" borderId="0" xfId="0" applyFont="1" applyFill="1"/>
    <xf numFmtId="0" fontId="18" fillId="3" borderId="0" xfId="0" applyFont="1" applyFill="1"/>
    <xf numFmtId="0" fontId="7" fillId="0" borderId="0" xfId="0" applyFont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9933FF"/>
      <color rgb="FF9954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r>
              <a:rPr lang="en-US"/>
              <a:t>TC SCORE = ST+TT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effectLst/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0">
                  <a:schemeClr val="accent1"/>
                </a:gs>
                <a:gs pos="100000">
                  <a:schemeClr val="accent1">
                    <a:lumMod val="84000"/>
                  </a:schemeClr>
                </a:gs>
              </a:gsLst>
              <a:lin ang="5400000" scaled="1"/>
            </a:gra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14A7-47EA-AAB0-015380A5785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76200" dir="18900000" sy="23000" kx="-1200000" algn="bl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14A7-47EA-AAB0-015380A5785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N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'TC output'!$I$33:$O$33</c:f>
              <c:strCache>
                <c:ptCount val="7"/>
                <c:pt idx="0">
                  <c:v>SPATIAL TRANSFORMATION</c:v>
                </c:pt>
                <c:pt idx="3">
                  <c:v>TECHNICAL TRANSFORMATION</c:v>
                </c:pt>
                <c:pt idx="6">
                  <c:v>TC</c:v>
                </c:pt>
              </c:strCache>
            </c:strRef>
          </c:cat>
          <c:val>
            <c:numRef>
              <c:f>'TC output'!$I$34:$O$34</c:f>
              <c:numCache>
                <c:formatCode>General</c:formatCode>
                <c:ptCount val="7"/>
                <c:pt idx="0">
                  <c:v>0.5</c:v>
                </c:pt>
                <c:pt idx="3">
                  <c:v>0.70000000000000007</c:v>
                </c:pt>
                <c:pt idx="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A7-47EA-AAB0-015380A5785E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723119168"/>
        <c:axId val="469478800"/>
      </c:barChart>
      <c:catAx>
        <c:axId val="723119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en-NL"/>
          </a:p>
        </c:txPr>
        <c:crossAx val="469478800"/>
        <c:crosses val="autoZero"/>
        <c:auto val="1"/>
        <c:lblAlgn val="ctr"/>
        <c:lblOffset val="100"/>
        <c:noMultiLvlLbl val="0"/>
      </c:catAx>
      <c:valAx>
        <c:axId val="4694788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723119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Transformation</a:t>
            </a:r>
            <a:r>
              <a:rPr lang="nl-NL" baseline="0"/>
              <a:t> Capacity</a:t>
            </a:r>
          </a:p>
          <a:p>
            <a:pPr>
              <a:defRPr/>
            </a:pPr>
            <a:r>
              <a:rPr lang="nl-NL" baseline="0"/>
              <a:t>sub-indicators per function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Housing</c:v>
          </c:tx>
          <c:spPr>
            <a:solidFill>
              <a:schemeClr val="accent4"/>
            </a:solidFill>
            <a:ln>
              <a:solidFill>
                <a:schemeClr val="accent4"/>
              </a:solidFill>
            </a:ln>
            <a:effectLst/>
          </c:spPr>
          <c:invertIfNegative val="0"/>
          <c:cat>
            <c:strRef>
              <c:f>'TC anayse'!$B$4:$S$4</c:f>
              <c:strCache>
                <c:ptCount val="17"/>
                <c:pt idx="0">
                  <c:v>RULE 1</c:v>
                </c:pt>
                <c:pt idx="1">
                  <c:v>RULE 2</c:v>
                </c:pt>
                <c:pt idx="2">
                  <c:v>RULE 3</c:v>
                </c:pt>
                <c:pt idx="3">
                  <c:v>RULE 4</c:v>
                </c:pt>
                <c:pt idx="4">
                  <c:v>RULE 5</c:v>
                </c:pt>
                <c:pt idx="5">
                  <c:v>RULE 6</c:v>
                </c:pt>
                <c:pt idx="6">
                  <c:v>RULE 7</c:v>
                </c:pt>
                <c:pt idx="7">
                  <c:v>RULE 8</c:v>
                </c:pt>
                <c:pt idx="8">
                  <c:v>RULE 9</c:v>
                </c:pt>
                <c:pt idx="9">
                  <c:v>RULE 10  </c:v>
                </c:pt>
                <c:pt idx="10">
                  <c:v>RULE 11  </c:v>
                </c:pt>
                <c:pt idx="11">
                  <c:v>RULE 12  </c:v>
                </c:pt>
                <c:pt idx="12">
                  <c:v>RULE 13  </c:v>
                </c:pt>
                <c:pt idx="13">
                  <c:v>RULE 14  </c:v>
                </c:pt>
                <c:pt idx="14">
                  <c:v>RULE 15   </c:v>
                </c:pt>
                <c:pt idx="15">
                  <c:v>RULE 16  </c:v>
                </c:pt>
                <c:pt idx="16">
                  <c:v>RULE 17  </c:v>
                </c:pt>
              </c:strCache>
            </c:strRef>
          </c:cat>
          <c:val>
            <c:numRef>
              <c:f>'TC anayse'!$B$9:$S$9</c:f>
              <c:numCache>
                <c:formatCode>General</c:formatCode>
                <c:ptCount val="17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0.7</c:v>
                </c:pt>
                <c:pt idx="8">
                  <c:v>0.3</c:v>
                </c:pt>
                <c:pt idx="9">
                  <c:v>0.3</c:v>
                </c:pt>
                <c:pt idx="10">
                  <c:v>0.1</c:v>
                </c:pt>
                <c:pt idx="11">
                  <c:v>0.7</c:v>
                </c:pt>
                <c:pt idx="12">
                  <c:v>0.7</c:v>
                </c:pt>
                <c:pt idx="13">
                  <c:v>0.9</c:v>
                </c:pt>
                <c:pt idx="14">
                  <c:v>0.3</c:v>
                </c:pt>
                <c:pt idx="15">
                  <c:v>0.9</c:v>
                </c:pt>
                <c:pt idx="16" formatCode="0.0">
                  <c:v>0.83333333333333348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9F-4599-89A2-EB10A3A49A46}"/>
            </c:ext>
          </c:extLst>
        </c:ser>
        <c:ser>
          <c:idx val="1"/>
          <c:order val="1"/>
          <c:tx>
            <c:v>Offices</c:v>
          </c:tx>
          <c:spPr>
            <a:solidFill>
              <a:srgbClr val="9954CC"/>
            </a:solidFill>
            <a:ln>
              <a:solidFill>
                <a:srgbClr val="9954CC"/>
              </a:solidFill>
            </a:ln>
            <a:effectLst/>
          </c:spPr>
          <c:invertIfNegative val="0"/>
          <c:cat>
            <c:strRef>
              <c:f>'TC anayse'!$B$4:$S$4</c:f>
              <c:strCache>
                <c:ptCount val="17"/>
                <c:pt idx="0">
                  <c:v>RULE 1</c:v>
                </c:pt>
                <c:pt idx="1">
                  <c:v>RULE 2</c:v>
                </c:pt>
                <c:pt idx="2">
                  <c:v>RULE 3</c:v>
                </c:pt>
                <c:pt idx="3">
                  <c:v>RULE 4</c:v>
                </c:pt>
                <c:pt idx="4">
                  <c:v>RULE 5</c:v>
                </c:pt>
                <c:pt idx="5">
                  <c:v>RULE 6</c:v>
                </c:pt>
                <c:pt idx="6">
                  <c:v>RULE 7</c:v>
                </c:pt>
                <c:pt idx="7">
                  <c:v>RULE 8</c:v>
                </c:pt>
                <c:pt idx="8">
                  <c:v>RULE 9</c:v>
                </c:pt>
                <c:pt idx="9">
                  <c:v>RULE 10  </c:v>
                </c:pt>
                <c:pt idx="10">
                  <c:v>RULE 11  </c:v>
                </c:pt>
                <c:pt idx="11">
                  <c:v>RULE 12  </c:v>
                </c:pt>
                <c:pt idx="12">
                  <c:v>RULE 13  </c:v>
                </c:pt>
                <c:pt idx="13">
                  <c:v>RULE 14  </c:v>
                </c:pt>
                <c:pt idx="14">
                  <c:v>RULE 15   </c:v>
                </c:pt>
                <c:pt idx="15">
                  <c:v>RULE 16  </c:v>
                </c:pt>
                <c:pt idx="16">
                  <c:v>RULE 17  </c:v>
                </c:pt>
              </c:strCache>
            </c:strRef>
          </c:cat>
          <c:val>
            <c:numRef>
              <c:f>'TC anayse'!$B$10:$S$10</c:f>
              <c:numCache>
                <c:formatCode>General</c:formatCode>
                <c:ptCount val="17"/>
                <c:pt idx="0">
                  <c:v>0.7</c:v>
                </c:pt>
                <c:pt idx="1">
                  <c:v>0.5</c:v>
                </c:pt>
                <c:pt idx="2">
                  <c:v>0.1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0.7</c:v>
                </c:pt>
                <c:pt idx="8">
                  <c:v>0.3</c:v>
                </c:pt>
                <c:pt idx="9">
                  <c:v>0.3</c:v>
                </c:pt>
                <c:pt idx="10">
                  <c:v>0.9</c:v>
                </c:pt>
                <c:pt idx="11">
                  <c:v>0.7</c:v>
                </c:pt>
                <c:pt idx="12">
                  <c:v>0.3</c:v>
                </c:pt>
                <c:pt idx="13">
                  <c:v>0.9</c:v>
                </c:pt>
                <c:pt idx="14">
                  <c:v>0.1</c:v>
                </c:pt>
                <c:pt idx="15">
                  <c:v>0.9</c:v>
                </c:pt>
                <c:pt idx="16" formatCode="0.0">
                  <c:v>0.83333333333333348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9F-4599-89A2-EB10A3A49A46}"/>
            </c:ext>
          </c:extLst>
        </c:ser>
        <c:ser>
          <c:idx val="2"/>
          <c:order val="2"/>
          <c:tx>
            <c:v>Education</c:v>
          </c:tx>
          <c:spPr>
            <a:solidFill>
              <a:schemeClr val="accent6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'TC anayse'!$B$4:$S$4</c:f>
              <c:strCache>
                <c:ptCount val="17"/>
                <c:pt idx="0">
                  <c:v>RULE 1</c:v>
                </c:pt>
                <c:pt idx="1">
                  <c:v>RULE 2</c:v>
                </c:pt>
                <c:pt idx="2">
                  <c:v>RULE 3</c:v>
                </c:pt>
                <c:pt idx="3">
                  <c:v>RULE 4</c:v>
                </c:pt>
                <c:pt idx="4">
                  <c:v>RULE 5</c:v>
                </c:pt>
                <c:pt idx="5">
                  <c:v>RULE 6</c:v>
                </c:pt>
                <c:pt idx="6">
                  <c:v>RULE 7</c:v>
                </c:pt>
                <c:pt idx="7">
                  <c:v>RULE 8</c:v>
                </c:pt>
                <c:pt idx="8">
                  <c:v>RULE 9</c:v>
                </c:pt>
                <c:pt idx="9">
                  <c:v>RULE 10  </c:v>
                </c:pt>
                <c:pt idx="10">
                  <c:v>RULE 11  </c:v>
                </c:pt>
                <c:pt idx="11">
                  <c:v>RULE 12  </c:v>
                </c:pt>
                <c:pt idx="12">
                  <c:v>RULE 13  </c:v>
                </c:pt>
                <c:pt idx="13">
                  <c:v>RULE 14  </c:v>
                </c:pt>
                <c:pt idx="14">
                  <c:v>RULE 15   </c:v>
                </c:pt>
                <c:pt idx="15">
                  <c:v>RULE 16  </c:v>
                </c:pt>
                <c:pt idx="16">
                  <c:v>RULE 17  </c:v>
                </c:pt>
              </c:strCache>
            </c:strRef>
          </c:cat>
          <c:val>
            <c:numRef>
              <c:f>'TC anayse'!$B$11:$S$11</c:f>
              <c:numCache>
                <c:formatCode>General</c:formatCode>
                <c:ptCount val="17"/>
                <c:pt idx="0">
                  <c:v>0.5</c:v>
                </c:pt>
                <c:pt idx="1">
                  <c:v>0.5</c:v>
                </c:pt>
                <c:pt idx="2">
                  <c:v>0.1</c:v>
                </c:pt>
                <c:pt idx="3">
                  <c:v>0.9</c:v>
                </c:pt>
                <c:pt idx="4">
                  <c:v>0.9</c:v>
                </c:pt>
                <c:pt idx="5">
                  <c:v>0.9</c:v>
                </c:pt>
                <c:pt idx="6">
                  <c:v>0.9</c:v>
                </c:pt>
                <c:pt idx="7">
                  <c:v>0.7</c:v>
                </c:pt>
                <c:pt idx="8">
                  <c:v>0.3</c:v>
                </c:pt>
                <c:pt idx="9">
                  <c:v>0.3</c:v>
                </c:pt>
                <c:pt idx="10">
                  <c:v>0.9</c:v>
                </c:pt>
                <c:pt idx="11">
                  <c:v>0.7</c:v>
                </c:pt>
                <c:pt idx="12">
                  <c:v>0.1</c:v>
                </c:pt>
                <c:pt idx="13">
                  <c:v>0.9</c:v>
                </c:pt>
                <c:pt idx="14">
                  <c:v>0.1</c:v>
                </c:pt>
                <c:pt idx="15">
                  <c:v>0.9</c:v>
                </c:pt>
                <c:pt idx="16" formatCode="0.0">
                  <c:v>0.83333333333333348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9F-4599-89A2-EB10A3A49A46}"/>
            </c:ext>
          </c:extLst>
        </c:ser>
        <c:ser>
          <c:idx val="3"/>
          <c:order val="3"/>
          <c:tx>
            <c:v>Total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bg1">
                  <a:lumMod val="85000"/>
                </a:schemeClr>
              </a:solidFill>
            </a:ln>
            <a:effectLst/>
          </c:spPr>
          <c:invertIfNegative val="0"/>
          <c:val>
            <c:numRef>
              <c:f>'TC anayse'!$B$12:$S$12</c:f>
              <c:numCache>
                <c:formatCode>0.0</c:formatCode>
                <c:ptCount val="17"/>
                <c:pt idx="0">
                  <c:v>0.70000000000000007</c:v>
                </c:pt>
                <c:pt idx="1">
                  <c:v>0.5</c:v>
                </c:pt>
                <c:pt idx="2" formatCode="General">
                  <c:v>0.10000000000000002</c:v>
                </c:pt>
                <c:pt idx="3" formatCode="General">
                  <c:v>0.9</c:v>
                </c:pt>
                <c:pt idx="4" formatCode="General">
                  <c:v>0.9</c:v>
                </c:pt>
                <c:pt idx="5" formatCode="General">
                  <c:v>0.9</c:v>
                </c:pt>
                <c:pt idx="6" formatCode="General">
                  <c:v>0.9</c:v>
                </c:pt>
                <c:pt idx="7" formatCode="General">
                  <c:v>0.69999999999999984</c:v>
                </c:pt>
                <c:pt idx="8" formatCode="General">
                  <c:v>0.3</c:v>
                </c:pt>
                <c:pt idx="9" formatCode="General">
                  <c:v>0.3</c:v>
                </c:pt>
                <c:pt idx="10">
                  <c:v>0.6333333333333333</c:v>
                </c:pt>
                <c:pt idx="11" formatCode="General">
                  <c:v>0.69999999999999984</c:v>
                </c:pt>
                <c:pt idx="12" formatCode="#,##0.0">
                  <c:v>0.3666666666666667</c:v>
                </c:pt>
                <c:pt idx="13" formatCode="General">
                  <c:v>0.9</c:v>
                </c:pt>
                <c:pt idx="14">
                  <c:v>0.16666666666666666</c:v>
                </c:pt>
                <c:pt idx="15">
                  <c:v>0.9</c:v>
                </c:pt>
                <c:pt idx="16">
                  <c:v>0.83333333333333348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9A-43CE-BD52-FC2139500E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76688480"/>
        <c:axId val="476689464"/>
      </c:barChart>
      <c:catAx>
        <c:axId val="476688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476689464"/>
        <c:crosses val="autoZero"/>
        <c:auto val="1"/>
        <c:lblAlgn val="ctr"/>
        <c:lblOffset val="100"/>
        <c:noMultiLvlLbl val="0"/>
      </c:catAx>
      <c:valAx>
        <c:axId val="476689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476688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l-NL"/>
              <a:t>Transformation</a:t>
            </a:r>
            <a:r>
              <a:rPr lang="nl-NL" baseline="0"/>
              <a:t> Capacity</a:t>
            </a:r>
            <a:endParaRPr lang="nl-NL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NL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23D-4173-8B55-83685D594DE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B23D-4173-8B55-83685D594DEE}"/>
              </c:ext>
            </c:extLst>
          </c:dPt>
          <c:dPt>
            <c:idx val="2"/>
            <c:invertIfNegative val="0"/>
            <c:bubble3D val="0"/>
            <c:spPr>
              <a:solidFill>
                <a:schemeClr val="bg1">
                  <a:lumMod val="8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23D-4173-8B55-83685D594DEE}"/>
              </c:ext>
            </c:extLst>
          </c:dPt>
          <c:cat>
            <c:strRef>
              <c:f>'TC anayse'!$U$7:$W$7</c:f>
              <c:strCache>
                <c:ptCount val="3"/>
                <c:pt idx="0">
                  <c:v>ST</c:v>
                </c:pt>
                <c:pt idx="1">
                  <c:v>TT</c:v>
                </c:pt>
                <c:pt idx="2">
                  <c:v>TC</c:v>
                </c:pt>
              </c:strCache>
            </c:strRef>
          </c:cat>
          <c:val>
            <c:numRef>
              <c:f>'TC anayse'!$U$12:$W$12</c:f>
              <c:numCache>
                <c:formatCode>General</c:formatCode>
                <c:ptCount val="3"/>
                <c:pt idx="0">
                  <c:v>0.5</c:v>
                </c:pt>
                <c:pt idx="1">
                  <c:v>0.70000000000000007</c:v>
                </c:pt>
                <c:pt idx="2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D-4173-8B55-83685D594D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16453960"/>
        <c:axId val="516455928"/>
      </c:barChart>
      <c:catAx>
        <c:axId val="516453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16455928"/>
        <c:crosses val="autoZero"/>
        <c:auto val="1"/>
        <c:lblAlgn val="ctr"/>
        <c:lblOffset val="100"/>
        <c:noMultiLvlLbl val="0"/>
      </c:catAx>
      <c:valAx>
        <c:axId val="516455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NL"/>
          </a:p>
        </c:txPr>
        <c:crossAx val="516453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NL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_xlchart.v1.1</cx:f>
      </cx:numDim>
    </cx:data>
  </cx:chartData>
  <cx:chart>
    <cx:title pos="t" align="ctr" overlay="0">
      <cx:tx>
        <cx:txData>
          <cx:v>TC INDICATORS</cx:v>
        </cx:txData>
      </cx:tx>
      <cx:txPr>
        <a:bodyPr spcFirstLastPara="1" vertOverflow="ellipsis" horzOverflow="overflow" wrap="square" lIns="0" tIns="0" rIns="0" bIns="0" anchor="ctr" anchorCtr="1"/>
        <a:lstStyle/>
        <a:p>
          <a:pPr algn="ctr" rtl="0">
            <a:defRPr/>
          </a:pPr>
          <a:r>
            <a:rPr lang="nl-NL" sz="1600" b="1" i="0" u="none" strike="noStrike" spc="100" baseline="0">
              <a:solidFill>
                <a:sysClr val="window" lastClr="FFFFFF">
                  <a:lumMod val="95000"/>
                </a:sys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Calibri" panose="020F0502020204030204"/>
            </a:rPr>
            <a:t>TC INDICATORS</a:t>
          </a:r>
        </a:p>
      </cx:txPr>
    </cx:title>
    <cx:plotArea>
      <cx:plotAreaRegion>
        <cx:series layoutId="sunburst" uniqueId="{6A97D2DF-CF69-4FC4-BEC7-44995AB01F43}">
          <cx:dataLabels>
            <cx:visibility seriesName="0" categoryName="1" value="0"/>
          </cx:dataLabels>
          <cx:dataId val="0"/>
        </cx:series>
      </cx:plotAreaRegion>
    </cx:plotArea>
    <cx:legend pos="b" align="ctr" overlay="0"/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7">
  <cs:axisTitle>
    <cs:lnRef idx="0"/>
    <cs:fillRef idx="0"/>
    <cs:effectRef idx="0"/>
    <cs:fontRef idx="minor">
      <a:schemeClr val="lt1">
        <a:lumMod val="95000"/>
      </a:schemeClr>
    </cs:fontRef>
    <cs:defRPr sz="900"/>
  </cs:axisTitle>
  <cs:category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/>
  </cs:chartArea>
  <cs:dataLabel>
    <cs:lnRef idx="0"/>
    <cs:fillRef idx="0"/>
    <cs:effectRef idx="0"/>
    <cs:fontRef idx="minor">
      <a:schemeClr val="lt1">
        <a:lumMod val="9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lt1"/>
    </cs:fontRef>
    <cs:spPr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  <a:ln>
        <a:solidFill>
          <a:schemeClr val="tx1"/>
        </a:solidFill>
      </a:ln>
    </cs:spPr>
  </cs:dataPoint>
  <cs:dataPoint3D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</cs:spPr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lt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lt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9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lt1"/>
    </cs:fontRef>
    <cs:spPr>
      <a:ln>
        <a:solidFill>
          <a:schemeClr val="lt1">
            <a:lumMod val="95000"/>
            <a:alpha val="10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lt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95000"/>
      </a:schemeClr>
    </cs:fontRef>
    <cs:defRPr sz="9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lt1">
        <a:lumMod val="9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lt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spc="10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95000"/>
      </a:schemeClr>
    </cs:fontRef>
    <cs:defRPr sz="9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95000"/>
      </a:schemeClr>
    </cs:fontRef>
    <cs:defRPr sz="9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hyperlink" Target="https://www.google.nl/imgres?imgurl=https%3A%2F%2Fwww.bamb2020.eu%2Fwp-content%2Fuploads%2F2016%2F03%2FLogo_BAMB_vector_color_underline_300dpi.png&amp;imgrefurl=https%3A%2F%2Fwww.bamb2020.eu%2F&amp;docid=R6Fpyr-jR6XXbM&amp;tbnid=SqMPq_BYEV-lDM%3A&amp;vet=10ahUKEwjTo-D2gsvgAhVIr6QKHSdUCj4QMwhBKAAwAA..i&amp;w=1086&amp;h=438&amp;bih=597&amp;biw=1536&amp;q=bamb%20logo&amp;ved=0ahUKEwjTo-D2gsvgAhVIr6QKHSdUCj4QMwhBKAAwAA&amp;iact=mrc&amp;uact=8" TargetMode="External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chart" Target="../charts/chart1.xml"/><Relationship Id="rId2" Type="http://schemas.openxmlformats.org/officeDocument/2006/relationships/image" Target="../media/image2.png"/><Relationship Id="rId16" Type="http://schemas.openxmlformats.org/officeDocument/2006/relationships/image" Target="../media/image12.png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microsoft.com/office/2014/relationships/chartEx" Target="../charts/chartEx1.xml"/><Relationship Id="rId5" Type="http://schemas.openxmlformats.org/officeDocument/2006/relationships/image" Target="../media/image5.emf"/><Relationship Id="rId15" Type="http://schemas.openxmlformats.org/officeDocument/2006/relationships/hyperlink" Target="https://www.google.nl/imgres?imgurl=https%3A%2F%2Festlat.eu%2Fassets%2Fupload%2FFor%2520projects%2FLogos%2Feuropean%2520union%2520flag%2520with%2520text_full%2520colour_1.jpg&amp;imgrefurl=https%3A%2F%2Festlat.eu%2Fen%2Ffor-projects%2Flogos-and-disclaimer&amp;docid=ASMttWdelyzd5M&amp;tbnid=3W6TbAak6iKjhM%3A&amp;vet=10ahUKEwi_6aKpg8vgAhXGzaQKHVSyBGYQMwhcKAYwBg..i&amp;w=1694&amp;h=1448&amp;bih=597&amp;biw=1536&amp;q=EU%20LOGO&amp;ved=0ahUKEwi_6aKpg8vgAhXGzaQKHVSyBGYQMwhcKAYwBg&amp;iact=mrc&amp;uact=8" TargetMode="External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2.png"/><Relationship Id="rId1" Type="http://schemas.openxmlformats.org/officeDocument/2006/relationships/image" Target="../media/image1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image" Target="../media/image1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6</xdr:row>
      <xdr:rowOff>6350</xdr:rowOff>
    </xdr:from>
    <xdr:to>
      <xdr:col>4</xdr:col>
      <xdr:colOff>186267</xdr:colOff>
      <xdr:row>30</xdr:row>
      <xdr:rowOff>74083</xdr:rowOff>
    </xdr:to>
    <xdr:sp macro="" textlink="">
      <xdr:nvSpPr>
        <xdr:cNvPr id="3075" name="AutoShape 3">
          <a:extLst>
            <a:ext uri="{FF2B5EF4-FFF2-40B4-BE49-F238E27FC236}">
              <a16:creationId xmlns:a16="http://schemas.microsoft.com/office/drawing/2014/main" id="{92964E90-B565-415D-A7D5-3AE52FE5A338}"/>
            </a:ext>
          </a:extLst>
        </xdr:cNvPr>
        <xdr:cNvSpPr>
          <a:spLocks noChangeAspect="1" noChangeArrowheads="1" noTextEdit="1"/>
        </xdr:cNvSpPr>
      </xdr:nvSpPr>
      <xdr:spPr bwMode="auto">
        <a:xfrm>
          <a:off x="495300" y="1314450"/>
          <a:ext cx="2247900" cy="3581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99907</xdr:colOff>
      <xdr:row>6</xdr:row>
      <xdr:rowOff>63500</xdr:rowOff>
    </xdr:from>
    <xdr:to>
      <xdr:col>4</xdr:col>
      <xdr:colOff>190077</xdr:colOff>
      <xdr:row>30</xdr:row>
      <xdr:rowOff>77893</xdr:rowOff>
    </xdr:to>
    <xdr:grpSp>
      <xdr:nvGrpSpPr>
        <xdr:cNvPr id="3" name="Groep 2">
          <a:extLst>
            <a:ext uri="{FF2B5EF4-FFF2-40B4-BE49-F238E27FC236}">
              <a16:creationId xmlns:a16="http://schemas.microsoft.com/office/drawing/2014/main" id="{9B29ED94-7AC5-4E50-BEBE-A0360D29A3E3}"/>
            </a:ext>
          </a:extLst>
        </xdr:cNvPr>
        <xdr:cNvGrpSpPr/>
      </xdr:nvGrpSpPr>
      <xdr:grpSpPr>
        <a:xfrm>
          <a:off x="739987" y="2631440"/>
          <a:ext cx="2231390" cy="5142653"/>
          <a:chOff x="739140" y="1371600"/>
          <a:chExt cx="2007870" cy="3528060"/>
        </a:xfrm>
      </xdr:grpSpPr>
      <xdr:pic>
        <xdr:nvPicPr>
          <xdr:cNvPr id="6" name="Afbeelding 5">
            <a:extLst>
              <a:ext uri="{FF2B5EF4-FFF2-40B4-BE49-F238E27FC236}">
                <a16:creationId xmlns:a16="http://schemas.microsoft.com/office/drawing/2014/main" id="{BDE14331-BC65-42C8-BD9A-557BFE652F0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340" y="1653540"/>
            <a:ext cx="1931670" cy="483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8" name="Afbeelding 7">
            <a:extLst>
              <a:ext uri="{FF2B5EF4-FFF2-40B4-BE49-F238E27FC236}">
                <a16:creationId xmlns:a16="http://schemas.microsoft.com/office/drawing/2014/main" id="{409D73D7-8B72-4ADF-AA51-FF2759D3E2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10" y="1668780"/>
            <a:ext cx="1874520" cy="426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Afbeelding 8">
            <a:extLst>
              <a:ext uri="{FF2B5EF4-FFF2-40B4-BE49-F238E27FC236}">
                <a16:creationId xmlns:a16="http://schemas.microsoft.com/office/drawing/2014/main" id="{31AB4980-5AAE-4419-B758-EBAF0C137C2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340" y="2571750"/>
            <a:ext cx="1931670" cy="480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1" name="Afbeelding 10">
            <a:extLst>
              <a:ext uri="{FF2B5EF4-FFF2-40B4-BE49-F238E27FC236}">
                <a16:creationId xmlns:a16="http://schemas.microsoft.com/office/drawing/2014/main" id="{7957594F-7969-4ADB-AD96-57056D5940BE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10" y="2583180"/>
            <a:ext cx="1874520" cy="426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2" name="Afbeelding 11">
            <a:extLst>
              <a:ext uri="{FF2B5EF4-FFF2-40B4-BE49-F238E27FC236}">
                <a16:creationId xmlns:a16="http://schemas.microsoft.com/office/drawing/2014/main" id="{CA51AEAC-5156-4A27-9626-02E6AF41FBC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340" y="3486150"/>
            <a:ext cx="1931670" cy="483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4" name="Afbeelding 13">
            <a:extLst>
              <a:ext uri="{FF2B5EF4-FFF2-40B4-BE49-F238E27FC236}">
                <a16:creationId xmlns:a16="http://schemas.microsoft.com/office/drawing/2014/main" id="{19DB3E55-D628-4753-BFF2-5BDB838B3A0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37776" y="3524689"/>
            <a:ext cx="1874520" cy="4305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5" name="Afbeelding 14">
            <a:extLst>
              <a:ext uri="{FF2B5EF4-FFF2-40B4-BE49-F238E27FC236}">
                <a16:creationId xmlns:a16="http://schemas.microsoft.com/office/drawing/2014/main" id="{3CC7A368-9FD0-4FC9-9F2E-4E46D9DCFE6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15340" y="4404360"/>
            <a:ext cx="1931670" cy="480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Afbeelding 16">
            <a:extLst>
              <a:ext uri="{FF2B5EF4-FFF2-40B4-BE49-F238E27FC236}">
                <a16:creationId xmlns:a16="http://schemas.microsoft.com/office/drawing/2014/main" id="{6B2A583C-1E1D-46ED-87D2-7FBFA0750FD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2010" y="4415790"/>
            <a:ext cx="1874520" cy="4267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8" name="Afbeelding 17">
            <a:extLst>
              <a:ext uri="{FF2B5EF4-FFF2-40B4-BE49-F238E27FC236}">
                <a16:creationId xmlns:a16="http://schemas.microsoft.com/office/drawing/2014/main" id="{59B2D9FD-4972-4A80-B251-36E7B83F35E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0180" y="1676400"/>
            <a:ext cx="681990" cy="483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2" name="Rectangle 20">
            <a:extLst>
              <a:ext uri="{FF2B5EF4-FFF2-40B4-BE49-F238E27FC236}">
                <a16:creationId xmlns:a16="http://schemas.microsoft.com/office/drawing/2014/main" id="{C80EBCE8-259F-4AD2-9F22-42167CA8A14D}"/>
              </a:ext>
            </a:extLst>
          </xdr:cNvPr>
          <xdr:cNvSpPr>
            <a:spLocks noChangeArrowheads="1"/>
          </xdr:cNvSpPr>
        </xdr:nvSpPr>
        <xdr:spPr bwMode="auto">
          <a:xfrm>
            <a:off x="1466850" y="1691640"/>
            <a:ext cx="628650" cy="426720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3" name="Freeform 21">
            <a:extLst>
              <a:ext uri="{FF2B5EF4-FFF2-40B4-BE49-F238E27FC236}">
                <a16:creationId xmlns:a16="http://schemas.microsoft.com/office/drawing/2014/main" id="{59A56731-CE0B-4BE5-8298-FB8FF9F2420B}"/>
              </a:ext>
            </a:extLst>
          </xdr:cNvPr>
          <xdr:cNvSpPr>
            <a:spLocks noEditPoints="1"/>
          </xdr:cNvSpPr>
        </xdr:nvSpPr>
        <xdr:spPr bwMode="auto">
          <a:xfrm>
            <a:off x="1455420" y="1863090"/>
            <a:ext cx="655320" cy="80010"/>
          </a:xfrm>
          <a:custGeom>
            <a:avLst/>
            <a:gdLst>
              <a:gd name="T0" fmla="*/ 18 w 172"/>
              <a:gd name="T1" fmla="*/ 7 h 21"/>
              <a:gd name="T2" fmla="*/ 154 w 172"/>
              <a:gd name="T3" fmla="*/ 7 h 21"/>
              <a:gd name="T4" fmla="*/ 154 w 172"/>
              <a:gd name="T5" fmla="*/ 14 h 21"/>
              <a:gd name="T6" fmla="*/ 18 w 172"/>
              <a:gd name="T7" fmla="*/ 14 h 21"/>
              <a:gd name="T8" fmla="*/ 18 w 172"/>
              <a:gd name="T9" fmla="*/ 7 h 21"/>
              <a:gd name="T10" fmla="*/ 22 w 172"/>
              <a:gd name="T11" fmla="*/ 21 h 21"/>
              <a:gd name="T12" fmla="*/ 0 w 172"/>
              <a:gd name="T13" fmla="*/ 10 h 21"/>
              <a:gd name="T14" fmla="*/ 22 w 172"/>
              <a:gd name="T15" fmla="*/ 0 h 21"/>
              <a:gd name="T16" fmla="*/ 22 w 172"/>
              <a:gd name="T17" fmla="*/ 21 h 21"/>
              <a:gd name="T18" fmla="*/ 151 w 172"/>
              <a:gd name="T19" fmla="*/ 0 h 21"/>
              <a:gd name="T20" fmla="*/ 172 w 172"/>
              <a:gd name="T21" fmla="*/ 10 h 21"/>
              <a:gd name="T22" fmla="*/ 151 w 172"/>
              <a:gd name="T23" fmla="*/ 21 h 21"/>
              <a:gd name="T24" fmla="*/ 151 w 172"/>
              <a:gd name="T25" fmla="*/ 0 h 2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172" h="21">
                <a:moveTo>
                  <a:pt x="18" y="7"/>
                </a:moveTo>
                <a:lnTo>
                  <a:pt x="154" y="7"/>
                </a:lnTo>
                <a:lnTo>
                  <a:pt x="154" y="14"/>
                </a:lnTo>
                <a:lnTo>
                  <a:pt x="18" y="14"/>
                </a:lnTo>
                <a:lnTo>
                  <a:pt x="18" y="7"/>
                </a:lnTo>
                <a:close/>
                <a:moveTo>
                  <a:pt x="22" y="21"/>
                </a:moveTo>
                <a:lnTo>
                  <a:pt x="0" y="10"/>
                </a:lnTo>
                <a:lnTo>
                  <a:pt x="22" y="0"/>
                </a:lnTo>
                <a:lnTo>
                  <a:pt x="22" y="21"/>
                </a:lnTo>
                <a:close/>
                <a:moveTo>
                  <a:pt x="151" y="0"/>
                </a:moveTo>
                <a:lnTo>
                  <a:pt x="172" y="10"/>
                </a:lnTo>
                <a:lnTo>
                  <a:pt x="151" y="21"/>
                </a:lnTo>
                <a:lnTo>
                  <a:pt x="151" y="0"/>
                </a:lnTo>
                <a:close/>
              </a:path>
            </a:pathLst>
          </a:custGeom>
          <a:solidFill>
            <a:srgbClr val="FFFFFF"/>
          </a:solidFill>
          <a:ln w="0" cap="flat">
            <a:solidFill>
              <a:srgbClr val="FFFFFF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Freeform 22">
            <a:extLst>
              <a:ext uri="{FF2B5EF4-FFF2-40B4-BE49-F238E27FC236}">
                <a16:creationId xmlns:a16="http://schemas.microsoft.com/office/drawing/2014/main" id="{302B9175-0460-49EC-83ED-6CF1A41A3063}"/>
              </a:ext>
            </a:extLst>
          </xdr:cNvPr>
          <xdr:cNvSpPr>
            <a:spLocks noEditPoints="1"/>
          </xdr:cNvSpPr>
        </xdr:nvSpPr>
        <xdr:spPr bwMode="auto">
          <a:xfrm>
            <a:off x="1741170" y="1783080"/>
            <a:ext cx="80010" cy="247650"/>
          </a:xfrm>
          <a:custGeom>
            <a:avLst/>
            <a:gdLst>
              <a:gd name="T0" fmla="*/ 14 w 21"/>
              <a:gd name="T1" fmla="*/ 47 h 65"/>
              <a:gd name="T2" fmla="*/ 14 w 21"/>
              <a:gd name="T3" fmla="*/ 18 h 65"/>
              <a:gd name="T4" fmla="*/ 7 w 21"/>
              <a:gd name="T5" fmla="*/ 18 h 65"/>
              <a:gd name="T6" fmla="*/ 7 w 21"/>
              <a:gd name="T7" fmla="*/ 47 h 65"/>
              <a:gd name="T8" fmla="*/ 14 w 21"/>
              <a:gd name="T9" fmla="*/ 47 h 65"/>
              <a:gd name="T10" fmla="*/ 0 w 21"/>
              <a:gd name="T11" fmla="*/ 43 h 65"/>
              <a:gd name="T12" fmla="*/ 10 w 21"/>
              <a:gd name="T13" fmla="*/ 65 h 65"/>
              <a:gd name="T14" fmla="*/ 21 w 21"/>
              <a:gd name="T15" fmla="*/ 43 h 65"/>
              <a:gd name="T16" fmla="*/ 0 w 21"/>
              <a:gd name="T17" fmla="*/ 43 h 65"/>
              <a:gd name="T18" fmla="*/ 21 w 21"/>
              <a:gd name="T19" fmla="*/ 21 h 65"/>
              <a:gd name="T20" fmla="*/ 10 w 21"/>
              <a:gd name="T21" fmla="*/ 0 h 65"/>
              <a:gd name="T22" fmla="*/ 0 w 21"/>
              <a:gd name="T23" fmla="*/ 21 h 65"/>
              <a:gd name="T24" fmla="*/ 21 w 21"/>
              <a:gd name="T25" fmla="*/ 21 h 65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</a:cxnLst>
            <a:rect l="0" t="0" r="r" b="b"/>
            <a:pathLst>
              <a:path w="21" h="65">
                <a:moveTo>
                  <a:pt x="14" y="47"/>
                </a:moveTo>
                <a:lnTo>
                  <a:pt x="14" y="18"/>
                </a:lnTo>
                <a:lnTo>
                  <a:pt x="7" y="18"/>
                </a:lnTo>
                <a:lnTo>
                  <a:pt x="7" y="47"/>
                </a:lnTo>
                <a:lnTo>
                  <a:pt x="14" y="47"/>
                </a:lnTo>
                <a:close/>
                <a:moveTo>
                  <a:pt x="0" y="43"/>
                </a:moveTo>
                <a:lnTo>
                  <a:pt x="10" y="65"/>
                </a:lnTo>
                <a:lnTo>
                  <a:pt x="21" y="43"/>
                </a:lnTo>
                <a:lnTo>
                  <a:pt x="0" y="43"/>
                </a:lnTo>
                <a:close/>
                <a:moveTo>
                  <a:pt x="21" y="21"/>
                </a:moveTo>
                <a:lnTo>
                  <a:pt x="10" y="0"/>
                </a:lnTo>
                <a:lnTo>
                  <a:pt x="0" y="21"/>
                </a:lnTo>
                <a:lnTo>
                  <a:pt x="21" y="21"/>
                </a:lnTo>
                <a:close/>
              </a:path>
            </a:pathLst>
          </a:custGeom>
          <a:solidFill>
            <a:srgbClr val="FFFFFF"/>
          </a:solidFill>
          <a:ln w="0" cap="flat">
            <a:solidFill>
              <a:srgbClr val="FFFFFF"/>
            </a:solidFill>
            <a:prstDash val="solid"/>
            <a:round/>
            <a:headEnd/>
            <a:tailEnd/>
          </a:ln>
        </xdr:spPr>
      </xdr:sp>
      <xdr:pic>
        <xdr:nvPicPr>
          <xdr:cNvPr id="23" name="Afbeelding 22">
            <a:extLst>
              <a:ext uri="{FF2B5EF4-FFF2-40B4-BE49-F238E27FC236}">
                <a16:creationId xmlns:a16="http://schemas.microsoft.com/office/drawing/2014/main" id="{237C4118-451F-4588-9F38-1F94A1FD073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7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0180" y="2571750"/>
            <a:ext cx="681990" cy="483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097" name="Rectangle 25">
            <a:extLst>
              <a:ext uri="{FF2B5EF4-FFF2-40B4-BE49-F238E27FC236}">
                <a16:creationId xmlns:a16="http://schemas.microsoft.com/office/drawing/2014/main" id="{1FA345CA-76FD-4524-AAE1-BC2A22E73D04}"/>
              </a:ext>
            </a:extLst>
          </xdr:cNvPr>
          <xdr:cNvSpPr>
            <a:spLocks noChangeArrowheads="1"/>
          </xdr:cNvSpPr>
        </xdr:nvSpPr>
        <xdr:spPr bwMode="auto">
          <a:xfrm>
            <a:off x="1466850" y="2586990"/>
            <a:ext cx="624840" cy="426720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8" name="Line 26">
            <a:extLst>
              <a:ext uri="{FF2B5EF4-FFF2-40B4-BE49-F238E27FC236}">
                <a16:creationId xmlns:a16="http://schemas.microsoft.com/office/drawing/2014/main" id="{E8616490-0477-4BCD-BCBA-9E78714497D7}"/>
              </a:ext>
            </a:extLst>
          </xdr:cNvPr>
          <xdr:cNvSpPr>
            <a:spLocks noChangeShapeType="1"/>
          </xdr:cNvSpPr>
        </xdr:nvSpPr>
        <xdr:spPr bwMode="auto">
          <a:xfrm>
            <a:off x="1600200" y="2678430"/>
            <a:ext cx="0" cy="175260"/>
          </a:xfrm>
          <a:prstGeom prst="line">
            <a:avLst/>
          </a:prstGeom>
          <a:noFill/>
          <a:ln w="26670" cap="flat">
            <a:solidFill>
              <a:srgbClr val="FFFFFF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9" name="Line 27">
            <a:extLst>
              <a:ext uri="{FF2B5EF4-FFF2-40B4-BE49-F238E27FC236}">
                <a16:creationId xmlns:a16="http://schemas.microsoft.com/office/drawing/2014/main" id="{978AD76D-EE63-49EE-B9BC-57452093F046}"/>
              </a:ext>
            </a:extLst>
          </xdr:cNvPr>
          <xdr:cNvSpPr>
            <a:spLocks noChangeShapeType="1"/>
          </xdr:cNvSpPr>
        </xdr:nvSpPr>
        <xdr:spPr bwMode="auto">
          <a:xfrm flipH="1">
            <a:off x="1710690" y="2815590"/>
            <a:ext cx="384810" cy="0"/>
          </a:xfrm>
          <a:prstGeom prst="line">
            <a:avLst/>
          </a:prstGeom>
          <a:noFill/>
          <a:ln w="26670" cap="flat">
            <a:solidFill>
              <a:srgbClr val="FFFFFF"/>
            </a:solidFill>
            <a:prstDash val="solid"/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pic>
        <xdr:nvPicPr>
          <xdr:cNvPr id="28" name="Afbeelding 27">
            <a:extLst>
              <a:ext uri="{FF2B5EF4-FFF2-40B4-BE49-F238E27FC236}">
                <a16:creationId xmlns:a16="http://schemas.microsoft.com/office/drawing/2014/main" id="{7B630A58-FFD0-416F-A5BA-89124EB6443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43990" y="3474720"/>
            <a:ext cx="365760" cy="4838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02" name="Rectangle 30">
            <a:extLst>
              <a:ext uri="{FF2B5EF4-FFF2-40B4-BE49-F238E27FC236}">
                <a16:creationId xmlns:a16="http://schemas.microsoft.com/office/drawing/2014/main" id="{3F8203AA-38BC-49D1-BDB3-9D398D4E9066}"/>
              </a:ext>
            </a:extLst>
          </xdr:cNvPr>
          <xdr:cNvSpPr>
            <a:spLocks noChangeArrowheads="1"/>
          </xdr:cNvSpPr>
        </xdr:nvSpPr>
        <xdr:spPr bwMode="auto">
          <a:xfrm>
            <a:off x="1466426" y="3517068"/>
            <a:ext cx="308610" cy="426720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pic>
        <xdr:nvPicPr>
          <xdr:cNvPr id="31" name="Afbeelding 30">
            <a:extLst>
              <a:ext uri="{FF2B5EF4-FFF2-40B4-BE49-F238E27FC236}">
                <a16:creationId xmlns:a16="http://schemas.microsoft.com/office/drawing/2014/main" id="{375F1D5A-0FAD-4320-8822-F2AC845D23A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9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28750" y="4419600"/>
            <a:ext cx="681990" cy="480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05" name="Rectangle 33">
            <a:extLst>
              <a:ext uri="{FF2B5EF4-FFF2-40B4-BE49-F238E27FC236}">
                <a16:creationId xmlns:a16="http://schemas.microsoft.com/office/drawing/2014/main" id="{95D9209D-560A-472F-BE5D-0E3498441094}"/>
              </a:ext>
            </a:extLst>
          </xdr:cNvPr>
          <xdr:cNvSpPr>
            <a:spLocks noChangeArrowheads="1"/>
          </xdr:cNvSpPr>
        </xdr:nvSpPr>
        <xdr:spPr bwMode="auto">
          <a:xfrm>
            <a:off x="1455420" y="4427291"/>
            <a:ext cx="628650" cy="430530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08" name="Freeform 36">
            <a:extLst>
              <a:ext uri="{FF2B5EF4-FFF2-40B4-BE49-F238E27FC236}">
                <a16:creationId xmlns:a16="http://schemas.microsoft.com/office/drawing/2014/main" id="{A6D6174E-993E-4941-B4AE-9FF6F2E96DC6}"/>
              </a:ext>
            </a:extLst>
          </xdr:cNvPr>
          <xdr:cNvSpPr>
            <a:spLocks/>
          </xdr:cNvSpPr>
        </xdr:nvSpPr>
        <xdr:spPr bwMode="auto">
          <a:xfrm>
            <a:off x="1638300" y="4336079"/>
            <a:ext cx="293370" cy="369270"/>
          </a:xfrm>
          <a:custGeom>
            <a:avLst/>
            <a:gdLst>
              <a:gd name="T0" fmla="*/ 0 w 77"/>
              <a:gd name="T1" fmla="*/ 92 h 131"/>
              <a:gd name="T2" fmla="*/ 19 w 77"/>
              <a:gd name="T3" fmla="*/ 92 h 131"/>
              <a:gd name="T4" fmla="*/ 19 w 77"/>
              <a:gd name="T5" fmla="*/ 0 h 131"/>
              <a:gd name="T6" fmla="*/ 58 w 77"/>
              <a:gd name="T7" fmla="*/ 0 h 131"/>
              <a:gd name="T8" fmla="*/ 58 w 77"/>
              <a:gd name="T9" fmla="*/ 92 h 131"/>
              <a:gd name="T10" fmla="*/ 77 w 77"/>
              <a:gd name="T11" fmla="*/ 92 h 131"/>
              <a:gd name="T12" fmla="*/ 39 w 77"/>
              <a:gd name="T13" fmla="*/ 131 h 131"/>
              <a:gd name="T14" fmla="*/ 0 w 77"/>
              <a:gd name="T15" fmla="*/ 92 h 131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</a:cxnLst>
            <a:rect l="0" t="0" r="r" b="b"/>
            <a:pathLst>
              <a:path w="77" h="131">
                <a:moveTo>
                  <a:pt x="0" y="92"/>
                </a:moveTo>
                <a:lnTo>
                  <a:pt x="19" y="92"/>
                </a:lnTo>
                <a:lnTo>
                  <a:pt x="19" y="0"/>
                </a:lnTo>
                <a:lnTo>
                  <a:pt x="58" y="0"/>
                </a:lnTo>
                <a:lnTo>
                  <a:pt x="58" y="92"/>
                </a:lnTo>
                <a:lnTo>
                  <a:pt x="77" y="92"/>
                </a:lnTo>
                <a:lnTo>
                  <a:pt x="39" y="131"/>
                </a:lnTo>
                <a:lnTo>
                  <a:pt x="0" y="92"/>
                </a:lnTo>
                <a:close/>
              </a:path>
            </a:pathLst>
          </a:custGeom>
          <a:solidFill>
            <a:srgbClr val="FFC000"/>
          </a:solidFill>
          <a:ln w="9525">
            <a:solidFill>
              <a:schemeClr val="bg1"/>
            </a:solidFill>
            <a:round/>
            <a:headEnd/>
            <a:tailEnd/>
          </a:ln>
        </xdr:spPr>
      </xdr:sp>
      <xdr:pic>
        <xdr:nvPicPr>
          <xdr:cNvPr id="37" name="Afbeelding 36">
            <a:extLst>
              <a:ext uri="{FF2B5EF4-FFF2-40B4-BE49-F238E27FC236}">
                <a16:creationId xmlns:a16="http://schemas.microsoft.com/office/drawing/2014/main" id="{C0828224-256A-4428-9FE5-1DFEF7E859B7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83080" y="3474720"/>
            <a:ext cx="361950" cy="4800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3111" name="Rectangle 39">
            <a:extLst>
              <a:ext uri="{FF2B5EF4-FFF2-40B4-BE49-F238E27FC236}">
                <a16:creationId xmlns:a16="http://schemas.microsoft.com/office/drawing/2014/main" id="{E09DC441-BA90-4CD6-A883-F7C4980ACE1E}"/>
              </a:ext>
            </a:extLst>
          </xdr:cNvPr>
          <xdr:cNvSpPr>
            <a:spLocks noChangeArrowheads="1"/>
          </xdr:cNvSpPr>
        </xdr:nvSpPr>
        <xdr:spPr bwMode="auto">
          <a:xfrm>
            <a:off x="1805516" y="3513258"/>
            <a:ext cx="308610" cy="430530"/>
          </a:xfrm>
          <a:prstGeom prst="rect">
            <a:avLst/>
          </a:prstGeom>
          <a:solidFill>
            <a:srgbClr val="FFC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112" name="Rectangle 40">
            <a:extLst>
              <a:ext uri="{FF2B5EF4-FFF2-40B4-BE49-F238E27FC236}">
                <a16:creationId xmlns:a16="http://schemas.microsoft.com/office/drawing/2014/main" id="{6C12F0A9-B286-492E-8D5F-0C72D30D19A5}"/>
              </a:ext>
            </a:extLst>
          </xdr:cNvPr>
          <xdr:cNvSpPr>
            <a:spLocks noChangeArrowheads="1"/>
          </xdr:cNvSpPr>
        </xdr:nvSpPr>
        <xdr:spPr bwMode="auto">
          <a:xfrm>
            <a:off x="739140" y="1371600"/>
            <a:ext cx="0" cy="17526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none" lIns="0" tIns="0" rIns="0" bIns="0" anchor="t">
            <a:noAutofit/>
          </a:bodyPr>
          <a:lstStyle/>
          <a:p>
            <a:pPr algn="l" rtl="0">
              <a:defRPr sz="1000"/>
            </a:pPr>
            <a:endParaRPr lang="en-NL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7</xdr:col>
      <xdr:colOff>594179</xdr:colOff>
      <xdr:row>5</xdr:row>
      <xdr:rowOff>119743</xdr:rowOff>
    </xdr:from>
    <xdr:to>
      <xdr:col>15</xdr:col>
      <xdr:colOff>28121</xdr:colOff>
      <xdr:row>19</xdr:row>
      <xdr:rowOff>11793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5" name="Grafiek 24">
              <a:extLst>
                <a:ext uri="{FF2B5EF4-FFF2-40B4-BE49-F238E27FC236}">
                  <a16:creationId xmlns:a16="http://schemas.microsoft.com/office/drawing/2014/main" id="{5314193E-9282-4333-81F4-02875E33A106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295719" y="2150473"/>
              <a:ext cx="4554582" cy="2730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n-NL" sz="1100"/>
                <a:t>Deze grafiek is niet beschikbaar in uw versie van Excel.
Als u deze vorm bewerkt of deze werkmap opslaat in een andere bestandsindeling, wordt de grafiek onherstelbaar beschadigd.</a:t>
              </a:r>
            </a:p>
          </xdr:txBody>
        </xdr:sp>
      </mc:Fallback>
    </mc:AlternateContent>
    <xdr:clientData/>
  </xdr:twoCellAnchor>
  <xdr:twoCellAnchor>
    <xdr:from>
      <xdr:col>7</xdr:col>
      <xdr:colOff>605064</xdr:colOff>
      <xdr:row>18</xdr:row>
      <xdr:rowOff>113393</xdr:rowOff>
    </xdr:from>
    <xdr:to>
      <xdr:col>15</xdr:col>
      <xdr:colOff>39914</xdr:colOff>
      <xdr:row>31</xdr:row>
      <xdr:rowOff>37193</xdr:rowOff>
    </xdr:to>
    <xdr:graphicFrame macro="">
      <xdr:nvGraphicFramePr>
        <xdr:cNvPr id="26" name="Grafiek 25">
          <a:extLst>
            <a:ext uri="{FF2B5EF4-FFF2-40B4-BE49-F238E27FC236}">
              <a16:creationId xmlns:a16="http://schemas.microsoft.com/office/drawing/2014/main" id="{0BC063E1-D1EB-4D89-86B8-4916661A71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 editAs="oneCell">
    <xdr:from>
      <xdr:col>10</xdr:col>
      <xdr:colOff>0</xdr:colOff>
      <xdr:row>1</xdr:row>
      <xdr:rowOff>0</xdr:rowOff>
    </xdr:from>
    <xdr:to>
      <xdr:col>10</xdr:col>
      <xdr:colOff>304800</xdr:colOff>
      <xdr:row>1</xdr:row>
      <xdr:rowOff>304800</xdr:rowOff>
    </xdr:to>
    <xdr:sp macro="" textlink="">
      <xdr:nvSpPr>
        <xdr:cNvPr id="3115" name="SqMPq_BYEV-lDM:" descr="Image result for bamb logo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E8727508-5AD5-486E-B9F6-0294FA2B6A77}"/>
            </a:ext>
          </a:extLst>
        </xdr:cNvPr>
        <xdr:cNvSpPr>
          <a:spLocks noChangeAspect="1" noChangeArrowheads="1"/>
        </xdr:cNvSpPr>
      </xdr:nvSpPr>
      <xdr:spPr bwMode="auto">
        <a:xfrm>
          <a:off x="6621780" y="18288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622301</xdr:colOff>
      <xdr:row>0</xdr:row>
      <xdr:rowOff>63501</xdr:rowOff>
    </xdr:from>
    <xdr:to>
      <xdr:col>12</xdr:col>
      <xdr:colOff>501650</xdr:colOff>
      <xdr:row>2</xdr:row>
      <xdr:rowOff>18548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B65D8A7F-B3E0-4E7C-9DCE-AB0DECE8B4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6616701" y="63501"/>
          <a:ext cx="1803399" cy="723397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304800</xdr:colOff>
      <xdr:row>7</xdr:row>
      <xdr:rowOff>26670</xdr:rowOff>
    </xdr:to>
    <xdr:sp macro="" textlink="">
      <xdr:nvSpPr>
        <xdr:cNvPr id="3118" name="3W6TbAak6iKjhM:" descr="Image result for EU LOGO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A74D6B0-4B3D-418B-9EC3-81B952CB0FB2}"/>
            </a:ext>
          </a:extLst>
        </xdr:cNvPr>
        <xdr:cNvSpPr>
          <a:spLocks noChangeAspect="1" noChangeArrowheads="1"/>
        </xdr:cNvSpPr>
      </xdr:nvSpPr>
      <xdr:spPr bwMode="auto">
        <a:xfrm>
          <a:off x="11102340" y="130683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12</xdr:col>
      <xdr:colOff>527050</xdr:colOff>
      <xdr:row>0</xdr:row>
      <xdr:rowOff>95250</xdr:rowOff>
    </xdr:from>
    <xdr:to>
      <xdr:col>14</xdr:col>
      <xdr:colOff>330200</xdr:colOff>
      <xdr:row>2</xdr:row>
      <xdr:rowOff>97602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A4FCF5FA-5CC5-475A-9721-B9D33D0E0AA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t="17080"/>
        <a:stretch/>
      </xdr:blipFill>
      <xdr:spPr>
        <a:xfrm>
          <a:off x="8445500" y="95250"/>
          <a:ext cx="1085850" cy="7707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8</xdr:col>
      <xdr:colOff>707291</xdr:colOff>
      <xdr:row>0</xdr:row>
      <xdr:rowOff>723397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F8FAD55B-E9F6-4923-AFCB-8A6A841545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584723" y="0"/>
          <a:ext cx="1803399" cy="723397"/>
        </a:xfrm>
        <a:prstGeom prst="rect">
          <a:avLst/>
        </a:prstGeom>
      </xdr:spPr>
    </xdr:pic>
    <xdr:clientData/>
  </xdr:twoCellAnchor>
  <xdr:twoCellAnchor editAs="oneCell">
    <xdr:from>
      <xdr:col>8</xdr:col>
      <xdr:colOff>732691</xdr:colOff>
      <xdr:row>0</xdr:row>
      <xdr:rowOff>31749</xdr:rowOff>
    </xdr:from>
    <xdr:to>
      <xdr:col>9</xdr:col>
      <xdr:colOff>722434</xdr:colOff>
      <xdr:row>0</xdr:row>
      <xdr:rowOff>802451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74BD4522-DD0C-4E18-85F7-AFD69D195D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t="17080"/>
        <a:stretch/>
      </xdr:blipFill>
      <xdr:spPr>
        <a:xfrm>
          <a:off x="14413522" y="31749"/>
          <a:ext cx="1085850" cy="77070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314325</xdr:colOff>
      <xdr:row>14</xdr:row>
      <xdr:rowOff>57150</xdr:rowOff>
    </xdr:from>
    <xdr:to>
      <xdr:col>18</xdr:col>
      <xdr:colOff>142875</xdr:colOff>
      <xdr:row>40</xdr:row>
      <xdr:rowOff>121920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502228</xdr:colOff>
      <xdr:row>4</xdr:row>
      <xdr:rowOff>543791</xdr:rowOff>
    </xdr:from>
    <xdr:to>
      <xdr:col>32</xdr:col>
      <xdr:colOff>200891</xdr:colOff>
      <xdr:row>14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24</xdr:col>
      <xdr:colOff>260350</xdr:colOff>
      <xdr:row>0</xdr:row>
      <xdr:rowOff>139700</xdr:rowOff>
    </xdr:from>
    <xdr:to>
      <xdr:col>27</xdr:col>
      <xdr:colOff>139699</xdr:colOff>
      <xdr:row>1</xdr:row>
      <xdr:rowOff>120147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A392204D-A1C5-48D1-9108-A419D06C7D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471650" y="139700"/>
          <a:ext cx="1803399" cy="723397"/>
        </a:xfrm>
        <a:prstGeom prst="rect">
          <a:avLst/>
        </a:prstGeom>
      </xdr:spPr>
    </xdr:pic>
    <xdr:clientData/>
  </xdr:twoCellAnchor>
  <xdr:twoCellAnchor editAs="oneCell">
    <xdr:from>
      <xdr:col>27</xdr:col>
      <xdr:colOff>165099</xdr:colOff>
      <xdr:row>0</xdr:row>
      <xdr:rowOff>171449</xdr:rowOff>
    </xdr:from>
    <xdr:to>
      <xdr:col>28</xdr:col>
      <xdr:colOff>609600</xdr:colOff>
      <xdr:row>2</xdr:row>
      <xdr:rowOff>15051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E2182F46-7083-493F-85A5-2797C971336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t="17080"/>
        <a:stretch/>
      </xdr:blipFill>
      <xdr:spPr>
        <a:xfrm>
          <a:off x="16300449" y="171449"/>
          <a:ext cx="1085850" cy="770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458241-CD68-42CC-9759-ECEDACBDF1D8}">
  <dimension ref="B2:O36"/>
  <sheetViews>
    <sheetView showGridLines="0" tabSelected="1" zoomScale="50" zoomScaleNormal="50" workbookViewId="0">
      <selection activeCell="Q40" sqref="Q40"/>
    </sheetView>
  </sheetViews>
  <sheetFormatPr defaultRowHeight="14.4" x14ac:dyDescent="0.55000000000000004"/>
  <cols>
    <col min="2" max="2" width="11.89453125" customWidth="1"/>
  </cols>
  <sheetData>
    <row r="2" spans="2:15" ht="45.9" x14ac:dyDescent="1.65">
      <c r="B2" s="49" t="s">
        <v>114</v>
      </c>
    </row>
    <row r="3" spans="2:15" ht="27" customHeight="1" x14ac:dyDescent="0.55000000000000004">
      <c r="B3" t="s">
        <v>130</v>
      </c>
      <c r="G3" t="s">
        <v>131</v>
      </c>
      <c r="I3" t="s">
        <v>132</v>
      </c>
    </row>
    <row r="4" spans="2:15" ht="30.3" customHeight="1" x14ac:dyDescent="0.55000000000000004"/>
    <row r="5" spans="2:15" ht="69.3" customHeight="1" x14ac:dyDescent="1.2">
      <c r="B5" s="83" t="s">
        <v>121</v>
      </c>
      <c r="C5" s="55"/>
      <c r="D5" s="55"/>
      <c r="E5" s="55"/>
      <c r="F5" s="55"/>
      <c r="I5" s="84" t="s">
        <v>124</v>
      </c>
      <c r="J5" s="85"/>
      <c r="K5" s="85"/>
      <c r="L5" s="85"/>
      <c r="M5" s="85"/>
      <c r="N5" s="85"/>
      <c r="O5" s="85"/>
    </row>
    <row r="6" spans="2:15" x14ac:dyDescent="0.55000000000000004">
      <c r="I6" s="85"/>
      <c r="J6" s="85"/>
      <c r="K6" s="85"/>
      <c r="L6" s="85"/>
      <c r="M6" s="85"/>
      <c r="N6" s="85"/>
      <c r="O6" s="85"/>
    </row>
    <row r="7" spans="2:15" ht="21.9" customHeight="1" x14ac:dyDescent="0.55000000000000004">
      <c r="B7" s="52" t="s">
        <v>115</v>
      </c>
      <c r="C7" s="25"/>
      <c r="D7" s="25"/>
      <c r="E7" s="25"/>
      <c r="F7" s="63">
        <f>('TC anayse'!B12+'TC anayse'!C12+'TC anayse'!F12+'TC anayse'!H12+'TC anayse'!M12+'TC anayse'!O12)/6</f>
        <v>0.66666666666666663</v>
      </c>
      <c r="I7" s="85"/>
      <c r="J7" s="85"/>
      <c r="K7" s="85"/>
      <c r="L7" s="85"/>
      <c r="M7" s="85"/>
      <c r="N7" s="85"/>
      <c r="O7" s="85"/>
    </row>
    <row r="8" spans="2:15" ht="21.9" customHeight="1" x14ac:dyDescent="0.55000000000000004">
      <c r="B8" s="61"/>
      <c r="C8" s="55"/>
      <c r="D8" s="55"/>
      <c r="E8" s="55"/>
      <c r="F8" s="64"/>
    </row>
    <row r="9" spans="2:15" x14ac:dyDescent="0.55000000000000004">
      <c r="B9" s="55"/>
      <c r="C9" s="55"/>
      <c r="D9" s="55"/>
      <c r="E9" s="55"/>
      <c r="F9" s="64"/>
    </row>
    <row r="10" spans="2:15" x14ac:dyDescent="0.55000000000000004">
      <c r="B10" s="55"/>
      <c r="C10" s="55"/>
      <c r="D10" s="55"/>
      <c r="E10" s="55"/>
      <c r="F10" s="64"/>
    </row>
    <row r="11" spans="2:15" x14ac:dyDescent="0.55000000000000004">
      <c r="B11" s="55"/>
      <c r="C11" s="55"/>
      <c r="D11" s="55"/>
      <c r="E11" s="55"/>
      <c r="F11" s="64"/>
    </row>
    <row r="12" spans="2:15" ht="14.4" customHeight="1" x14ac:dyDescent="0.55000000000000004">
      <c r="B12" s="55"/>
      <c r="C12" s="55"/>
      <c r="D12" s="55"/>
      <c r="E12" s="55"/>
      <c r="F12" s="64"/>
    </row>
    <row r="13" spans="2:15" ht="17.7" customHeight="1" x14ac:dyDescent="0.55000000000000004">
      <c r="B13" s="52" t="s">
        <v>116</v>
      </c>
      <c r="C13" s="25"/>
      <c r="D13" s="25"/>
      <c r="E13" s="25"/>
      <c r="F13" s="63">
        <f>('TC anayse'!I12+'TC anayse'!J12+'TC anayse'!L12+'TC anayse'!N12)/4</f>
        <v>0.64999999999999991</v>
      </c>
    </row>
    <row r="14" spans="2:15" ht="17.7" customHeight="1" x14ac:dyDescent="0.55000000000000004">
      <c r="B14" s="61"/>
      <c r="C14" s="55"/>
      <c r="D14" s="55"/>
      <c r="E14" s="55"/>
      <c r="F14" s="64"/>
    </row>
    <row r="15" spans="2:15" x14ac:dyDescent="0.55000000000000004">
      <c r="B15" s="55"/>
      <c r="C15" s="55"/>
      <c r="D15" s="55"/>
      <c r="E15" s="55"/>
      <c r="F15" s="64"/>
    </row>
    <row r="16" spans="2:15" x14ac:dyDescent="0.55000000000000004">
      <c r="B16" s="55"/>
      <c r="C16" s="55"/>
      <c r="D16" s="55"/>
      <c r="E16" s="55"/>
      <c r="F16" s="64"/>
    </row>
    <row r="17" spans="2:6" x14ac:dyDescent="0.55000000000000004">
      <c r="B17" s="55"/>
      <c r="C17" s="55"/>
      <c r="D17" s="55"/>
      <c r="E17" s="55"/>
      <c r="F17" s="64"/>
    </row>
    <row r="18" spans="2:6" x14ac:dyDescent="0.55000000000000004">
      <c r="B18" s="55"/>
      <c r="C18" s="55"/>
      <c r="D18" s="55"/>
      <c r="E18" s="55"/>
      <c r="F18" s="64"/>
    </row>
    <row r="19" spans="2:6" ht="14.7" customHeight="1" x14ac:dyDescent="0.55000000000000004">
      <c r="B19" s="55"/>
      <c r="C19" s="55"/>
      <c r="D19" s="55"/>
      <c r="E19" s="55"/>
      <c r="F19" s="64"/>
    </row>
    <row r="20" spans="2:6" ht="21.9" customHeight="1" x14ac:dyDescent="0.55000000000000004">
      <c r="B20" s="53" t="s">
        <v>117</v>
      </c>
      <c r="C20" s="25"/>
      <c r="D20" s="25"/>
      <c r="E20" s="25"/>
      <c r="F20" s="63">
        <f>('TC anayse'!P12+'TC anayse'!S12)/2</f>
        <v>0.8666666666666667</v>
      </c>
    </row>
    <row r="21" spans="2:6" ht="21.9" customHeight="1" x14ac:dyDescent="0.55000000000000004">
      <c r="B21" s="62"/>
      <c r="C21" s="55"/>
      <c r="D21" s="55"/>
      <c r="E21" s="55"/>
      <c r="F21" s="64"/>
    </row>
    <row r="22" spans="2:6" x14ac:dyDescent="0.55000000000000004">
      <c r="B22" s="55"/>
      <c r="C22" s="55"/>
      <c r="D22" s="55"/>
      <c r="E22" s="55"/>
      <c r="F22" s="64"/>
    </row>
    <row r="23" spans="2:6" x14ac:dyDescent="0.55000000000000004">
      <c r="B23" s="55"/>
      <c r="C23" s="55"/>
      <c r="D23" s="55"/>
      <c r="E23" s="55"/>
      <c r="F23" s="64"/>
    </row>
    <row r="24" spans="2:6" x14ac:dyDescent="0.55000000000000004">
      <c r="B24" s="55"/>
      <c r="C24" s="55"/>
      <c r="D24" s="55"/>
      <c r="E24" s="55"/>
      <c r="F24" s="64"/>
    </row>
    <row r="25" spans="2:6" ht="17.399999999999999" customHeight="1" x14ac:dyDescent="0.55000000000000004">
      <c r="B25" s="55"/>
      <c r="C25" s="55"/>
      <c r="D25" s="55"/>
      <c r="E25" s="55"/>
      <c r="F25" s="65"/>
    </row>
    <row r="26" spans="2:6" ht="19.5" customHeight="1" x14ac:dyDescent="0.55000000000000004">
      <c r="B26" s="52" t="s">
        <v>118</v>
      </c>
      <c r="C26" s="25"/>
      <c r="D26" s="25"/>
      <c r="E26" s="25"/>
      <c r="F26" s="63">
        <f>('TC anayse'!R12+'TC anayse'!S12)/2</f>
        <v>0.8666666666666667</v>
      </c>
    </row>
    <row r="27" spans="2:6" ht="19.5" customHeight="1" x14ac:dyDescent="0.55000000000000004">
      <c r="B27" s="61"/>
      <c r="C27" s="55"/>
      <c r="D27" s="55"/>
      <c r="E27" s="55"/>
      <c r="F27" s="66"/>
    </row>
    <row r="28" spans="2:6" ht="19.5" customHeight="1" x14ac:dyDescent="0.55000000000000004">
      <c r="B28" s="61"/>
      <c r="C28" s="55"/>
      <c r="D28" s="55"/>
      <c r="E28" s="55"/>
      <c r="F28" s="66"/>
    </row>
    <row r="29" spans="2:6" x14ac:dyDescent="0.55000000000000004">
      <c r="B29" s="55"/>
      <c r="C29" s="55"/>
      <c r="D29" s="55"/>
      <c r="E29" s="55"/>
      <c r="F29" s="66"/>
    </row>
    <row r="30" spans="2:6" x14ac:dyDescent="0.55000000000000004">
      <c r="B30" s="55"/>
      <c r="C30" s="55"/>
      <c r="D30" s="55"/>
      <c r="E30" s="55"/>
      <c r="F30" s="66"/>
    </row>
    <row r="31" spans="2:6" x14ac:dyDescent="0.55000000000000004">
      <c r="B31" s="55"/>
      <c r="C31" s="55"/>
      <c r="D31" s="55"/>
      <c r="E31" s="55"/>
      <c r="F31" s="67"/>
    </row>
    <row r="33" spans="2:15" ht="20.399999999999999" x14ac:dyDescent="0.75">
      <c r="I33" s="58" t="s">
        <v>119</v>
      </c>
      <c r="J33" s="58"/>
      <c r="K33" s="58"/>
      <c r="L33" s="59" t="s">
        <v>120</v>
      </c>
      <c r="M33" s="59"/>
      <c r="N33" s="23"/>
      <c r="O33" s="57" t="s">
        <v>90</v>
      </c>
    </row>
    <row r="34" spans="2:15" ht="26.4" customHeight="1" x14ac:dyDescent="0.95">
      <c r="I34" s="101">
        <f>'TC anayse'!U12</f>
        <v>0.5</v>
      </c>
      <c r="J34" s="101"/>
      <c r="K34" s="101"/>
      <c r="L34" s="102">
        <f>'TC anayse'!V12</f>
        <v>0.70000000000000007</v>
      </c>
      <c r="M34" s="60"/>
      <c r="N34" s="54"/>
      <c r="O34" s="56">
        <f>'TC anayse'!W12</f>
        <v>0.5</v>
      </c>
    </row>
    <row r="36" spans="2:15" ht="15.6" x14ac:dyDescent="0.6">
      <c r="B36" s="103" t="s">
        <v>122</v>
      </c>
    </row>
  </sheetData>
  <pageMargins left="0.7" right="0.7" top="0.75" bottom="0.75" header="0.3" footer="0.3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1"/>
  <sheetViews>
    <sheetView showGridLines="0" zoomScale="30" zoomScaleNormal="30" workbookViewId="0">
      <selection activeCell="AT7" sqref="AT7"/>
    </sheetView>
  </sheetViews>
  <sheetFormatPr defaultRowHeight="18.3" x14ac:dyDescent="0.7"/>
  <cols>
    <col min="1" max="1" width="15.47265625" style="51" customWidth="1"/>
    <col min="2" max="2" width="62.68359375" style="3" customWidth="1"/>
    <col min="3" max="3" width="3" style="3" customWidth="1"/>
    <col min="4" max="4" width="49.68359375" bestFit="1" customWidth="1"/>
    <col min="5" max="5" width="3" customWidth="1"/>
    <col min="6" max="6" width="24.83984375" customWidth="1"/>
    <col min="7" max="9" width="15.15625" customWidth="1"/>
    <col min="10" max="10" width="15.15625" style="88" customWidth="1"/>
    <col min="11" max="14" width="20.68359375" customWidth="1"/>
    <col min="22" max="24" width="9.15625" customWidth="1"/>
    <col min="25" max="27" width="9.15625" hidden="1" customWidth="1"/>
    <col min="28" max="28" width="67.68359375" hidden="1" customWidth="1"/>
    <col min="29" max="30" width="0" hidden="1" customWidth="1"/>
  </cols>
  <sheetData>
    <row r="1" spans="1:28" ht="66" customHeight="1" x14ac:dyDescent="2.2000000000000002">
      <c r="B1" s="50" t="s">
        <v>113</v>
      </c>
    </row>
    <row r="2" spans="1:28" ht="73.5" customHeight="1" x14ac:dyDescent="1.2">
      <c r="B2" s="86" t="s">
        <v>123</v>
      </c>
      <c r="C2" s="87"/>
      <c r="D2" s="6"/>
      <c r="E2" s="6"/>
      <c r="F2" s="6"/>
    </row>
    <row r="3" spans="1:28" ht="39" customHeight="1" x14ac:dyDescent="0.7">
      <c r="B3" s="34" t="s">
        <v>3</v>
      </c>
      <c r="C3" s="34"/>
      <c r="D3" s="35" t="s">
        <v>8</v>
      </c>
      <c r="E3" s="35"/>
      <c r="F3" s="35"/>
      <c r="G3" s="35" t="s">
        <v>4</v>
      </c>
      <c r="H3" s="35" t="s">
        <v>5</v>
      </c>
      <c r="I3" s="35" t="s">
        <v>6</v>
      </c>
      <c r="J3" s="94" t="s">
        <v>7</v>
      </c>
    </row>
    <row r="4" spans="1:28" x14ac:dyDescent="0.7">
      <c r="A4" s="78" t="s">
        <v>64</v>
      </c>
      <c r="B4" s="68" t="s">
        <v>1</v>
      </c>
      <c r="C4" s="37" t="s">
        <v>19</v>
      </c>
      <c r="D4" s="75">
        <v>4500</v>
      </c>
      <c r="E4" s="75"/>
      <c r="F4" s="75"/>
      <c r="G4" s="38">
        <f>IF(AND(B4="cross-wall structure",D4&lt;4200),0.3,IF(AND(B4="cross-wall structure",D4&lt;5400),0.3,IF(AND(B4="cross-wall structure",D4&lt;7200),0.7,IF(AND(B4="cross-wall structure",D4&lt;8000),0.9,IF(AND(B4="cross-wall structure",D4&gt;7999),0.9,IF(AND(B4="post-and-beam structure",D4&lt;2400),0.1,IF(AND(B4="post-and-beam structure",D4&lt;3200),0.3,IF(AND(B4="post-and-beam structure",D4&lt;4200),0.5,IF(AND(B4="post-and-beam structure",D4&lt;5400),0.9,IF(AND(B4="post-and-beam structure",D4&lt;7200),0.9,IF(AND(B4="post-and-beam structure",D4&gt;7199),0.9,IF(AND(B4="load-bearing-façade structure",D4&lt;6000),0.1,IF(AND(B4="load-bearing-façade structure",D4&lt;9000),0.3,IF(AND(B4="load-bearing-façade structure",D4&lt;11000),0.9,IF(AND(B4="load-bearing-façade structure",D4&lt;16000),0.8,IF(AND(B4="load-bearing-façade structure",D4&gt;15999),0.3,0))))))))))))))))</f>
        <v>0.9</v>
      </c>
      <c r="H4" s="39">
        <f>IF(AND(B4="cross-wall structure",D4&lt;4200),0.1,IF(AND(B4="cross-wall structure",D4&lt;5400),0.3,IF(AND(B4="cross-wall structure",D4&lt;7200),0.5,IF(AND(B4="cross-wall structure",D4&lt;8000),0.7,IF(AND(B4="cross-wall structure",D4&gt;7999),0.9,IF(AND(B4="post-and-beam structure",D4&lt;2400),0.1,IF(AND(B4="post-and-beam structure",D4&lt;3200),0.1,IF(AND(B4="post-and-beam structure",D4&lt;4200),0.3,IF(AND(B4="post-and-beam structure",D4&lt;5400),0.7,IF(AND(B4="post-and-beam structure",D4&lt;7200),0.7,IF(AND(B4="post-and-beam structure",D4&gt;7199),0.9,IF(AND(B4="load-bearing-façade structure",D4&lt;6000),0.1,IF(AND(B4="load-bearing-façade structure",D4&lt;9000),0.5,IF(AND(B4="load-bearing-façade structure",D4&lt;11000),0.7,IF(AND(B4="load-bearing-façade structure",D4&lt;16000),0.9,IF(AND(B4="load-bearing-façade structure",D4&gt;15999),0.5,0))))))))))))))))</f>
        <v>0.7</v>
      </c>
      <c r="I4" s="40">
        <f>IF(AND(B4="cross-wall structure",D4&lt;4200),0.1,IF(AND(B4="cross-wall structure",D4&lt;5400),0.1,IF(AND(B4="cross-wall structure",D4&lt;7200),0.3,IF(AND(B4="cross-wall structure",D4&lt;8000),0.7,IF(AND(B4="cross-wall structure",D4&gt;7999),0.9,IF(AND(B4="post-and-beam structure",D4&lt;2400),0.1,IF(AND(B4="post-and-beam structure",D4&lt;3200),0.1,IF(AND(B4="post-and-beam structure",D4&lt;4200),0.1,IF(AND(B4="post-and-beam structure",D4&lt;5400),0.5,IF(AND(B4="post-and-beam structure",D4&lt;7200),0.7,IF(AND(B4="post-and-beam structure",D4&gt;7199),0.9,IF(AND(B4="load-bearing-façade structure",D4&lt;6000),0.1,IF(AND(B4="load-bearing-façade structure",D4&lt;9000),0.1,IF(AND(B4="load-bearing-façade structure",D4&lt;11000),0.5,IF(AND(B4="load-bearing-façade structure",D4&lt;16000),0.9,IF(AND(B4="load-bearing-façade structure",D4&gt;15999),0.3,0))))))))))))))))</f>
        <v>0.5</v>
      </c>
      <c r="J4" s="95">
        <f>AVERAGE(G4:I4)</f>
        <v>0.70000000000000007</v>
      </c>
    </row>
    <row r="5" spans="1:28" x14ac:dyDescent="0.7">
      <c r="A5" s="79"/>
      <c r="B5" s="69"/>
      <c r="C5" s="41"/>
      <c r="D5" s="76"/>
      <c r="E5" s="76"/>
      <c r="F5" s="76"/>
      <c r="G5" s="42"/>
      <c r="H5" s="43"/>
      <c r="I5" s="44"/>
      <c r="J5" s="90"/>
    </row>
    <row r="6" spans="1:28" x14ac:dyDescent="0.7">
      <c r="A6" s="80"/>
      <c r="B6" s="70" t="s">
        <v>12</v>
      </c>
      <c r="C6" s="45"/>
      <c r="D6" s="73" t="s">
        <v>13</v>
      </c>
      <c r="E6" s="73"/>
      <c r="F6" s="73" t="s">
        <v>18</v>
      </c>
      <c r="G6" s="38"/>
      <c r="H6" s="39"/>
      <c r="I6" s="40"/>
      <c r="J6" s="89"/>
    </row>
    <row r="7" spans="1:28" x14ac:dyDescent="0.7">
      <c r="A7" s="81" t="s">
        <v>65</v>
      </c>
      <c r="B7" s="71" t="s">
        <v>9</v>
      </c>
      <c r="C7" s="46" t="s">
        <v>19</v>
      </c>
      <c r="D7" s="74">
        <v>15</v>
      </c>
      <c r="E7" s="74"/>
      <c r="F7" s="74">
        <v>0</v>
      </c>
      <c r="G7" s="25">
        <f>IF(AND(B7="typology 1",D7&lt;9.8),0.3,IF(AND(B7="typology 1",D7&lt;11.2),0.3,IF(AND(B7="typology 1",D7&lt;16.8),0.5,IF(AND(B7="typology 1",D7&lt;18.2),0.9,IF(AND(B7="typology 1",D7&lt;19.6),0.9,IF(AND(B7="typology 1",D7&lt;21),0.3,IF(AND(B7="typology 1",D7&gt;20.9),0.1,IF(AND(B7="typology 2",D7&lt;13.3),0.1,IF(AND(B7="typology 2",D7&lt;15.2),0.3,IF(AND(B7="typology 2",D7&lt;22.8),0.7,IF(AND(B7="typology 2",D7&lt;24.7),0.9,IF(AND(B7="typology 2",D7&lt;26.6),0.5,IF(AND(B7="typology 2",D7&gt;26.5),0.1,IF(AND(B7="typology 3",D7&lt;6),0.1,IF(AND(B7="typology 3",D7&lt;7),0.3,IF(AND(B7="typology 3",D7&lt;10.8),0.7,IF(AND(B7="typology 3",D7&lt;13.2),0.7,IF(AND(B7="typology 3",D7&lt;14.4),0.7,IF(AND(B7="typology 3",D7&lt;15.6),0.5,IF(AND(B7="typology 3",D7&gt;15.5),0.3,IF(AND(B7="typology 4.1",(D7-F7)&lt;9.8),0.3,IF(AND(B7="typology 4.1",(D7-F7)&lt;11.2),0.3,IF(AND(B7="typology 4.1",(D7-F7)&lt;16.8),0.5,IF(AND(B7="typology 4.1",(D7-F7)&lt;18.2),0.9,IF(AND(B7="typology 4.1",(D7-F7)&lt;19.6),0.9,IF(AND(B7="typology 4.1",(D7-F7)&lt;21),0.3,IF(AND(B7="typology 4.1",(D7-F7)&gt;20.9),0.1,IF(AND(B7="typology 4.2",(D7-F7)&lt;13.3),0.1,IF(AND(B7="typology 4.2",(D7-F7)&lt;15.2),0.3,IF(AND(B7="typology 4.2",(D7-F7)&lt;22.8),0.7,IF(AND(B7="typology 4.2",(D7-F7)&lt;24.7),0.9,IF(AND(B7="typology 4.2",(D7-F7)&lt;26.6),0.5,IF(AND(B7="typology 4.2",(D7-F7)&gt;26.5),0.1,IF(AND(B7="typology 4.3",(D7-F7)&lt;6),0.1,IF(AND(B7="typology 4.3",(D7-F7)&lt;7),0.3,IF(AND(B7="typology 4.3",(D7-F7)&lt;10.8),0.7,IF(AND(B7="typology 4.3",(D7-F7)&lt;13.2),0.7,IF(AND(B7="typology 4.3",(D7-F7)&lt;14.4),0.7,IF(AND(B7="typology 4.3",(D7-F7)&lt;15.6),0.5,IF(AND(B7="typology 4.3",(D7-F7)&gt;15.5),0.3,0))))))))))))))))))))))))))))))))))))))))</f>
        <v>0.5</v>
      </c>
      <c r="H7" s="47">
        <f>IF(AND(B7="typology 1",D7&lt;9.8),0.5,IF(AND(B7="typology 1",D7&lt;11.2),0.5,IF(AND(B7="typology 1",D7&lt;16.8),0.5,IF(AND(B7="typology 1",D7&lt;18.2),0.7,IF(AND(B7="typology 1",D7&lt;19.6),0.9,IF(AND(B7="typology 1",D7&lt;21),0.5,IF(AND(B7="typology 1",D7&gt;20.9),0.3,IF(AND(B7="typology 2",D7&lt;13.3),0.3,IF(AND(B7="typology 2",D7&lt;15.2),0.5,IF(AND(B7="typology 2",D7&lt;22.8),0.9,IF(AND(B7="typology 2",D7&lt;24.7),0.5,IF(AND(B7="typology 2",D7&lt;26.6),0.5,IF(AND(B7="typology 2",D7&gt;26.5),0.3,IF(AND(B7="typology 3",D7&lt;6),0.1,IF(AND(B7="typology 3",D7&lt;7),0.3,IF(AND(B7="typology 3",D7&lt;10.8),0.9,IF(AND(B7="typology 3",D7&lt;13.2),0.9,IF(AND(B7="typology 3",D7&lt;14.4),0.9,IF(AND(B7="typology 3",D7&lt;15.6),0.5,IF(AND(B7="typology 3",D7&gt;15.5),0.3,IF(AND(B7="typology 4.1",(D7-F7)&lt;9.8),0.5,IF(AND(B7="typology 4.1",(D7-F7)&lt;11.2),0.5,IF(AND(B7="typology 4.1",(D7-F7)&lt;16.8),0.5,IF(AND(B7="typology 4.1",(D7-F7)&lt;18.2),0.7,IF(AND(B7="typology 4.1",(D7-F7)&lt;19.6),0.9,IF(AND(B7="typology 4.1",(D7-F7)&lt;21),0.5,IF(AND(B7="typology 4.1",(D7-F7)&gt;20.9),0.3,IF(AND(B7="typology 4.2",(D7-F7)&lt;13.3),0.3,IF(AND(B7="typology 4.2",(D7-F7)&lt;15.2),0.5,IF(AND(B7="typology 4.2",(D7-F7)&lt;22.8),0.9,IF(AND(B7="typology 4.2",(D7-F7)&lt;24.7),0.5,IF(AND(B7="typology 4.2",(D7-F7)&lt;26.6),0.5,IF(AND(B7="typology 4.2",(D7-F7)&gt;26.5),0.3,IF(AND(B7="typology 4.3",(D7-F7)&lt;6),0.1,IF(AND(B7="typology 4.3",(D7-F7)&lt;7),0.3,IF(AND(B7="typology 4.3",(D7-F7)&lt;10.8),0.9,IF(AND(B7="typology 4.3",(D7-F7)&lt;13.2),0.9,IF(AND(B7="typology 4.3",(D7-F7)&lt;14.4),0.9,IF(AND(B7="typology 4.3",(D7-F7)&lt;15.6),0.5,IF(AND(B7="typology 4.3",(D7-F7)&gt;15.5),0.3,0))))))))))))))))))))))))))))))))))))))))</f>
        <v>0.5</v>
      </c>
      <c r="I7" s="31">
        <f>IF(AND(B7="typology 1",D7&lt;9.8),0.1,IF(AND(B7="typology 1",D7&lt;11.2),0.3,IF(AND(B7="typology 1",D7&lt;16.8),0.5,IF(AND(B7="typology 1",D7&lt;18.2),0.5,IF(AND(B7="typology 1",D7&lt;19.6),0.7,IF(AND(B7="typology 1",D7&lt;21),0.3,IF(AND(B7="typology 1",D7&gt;20.9),0.3,IF(AND(B7="typology 2",D7&lt;13.3),0.1,IF(AND(B7="typology 2",D7&lt;15.2),0.1,IF(AND(B7="typology 2",D7&lt;22.8),0.7,IF(AND(B7="typology 2",D7&lt;24.7),0.7,IF(AND(B7="typology 2",D7&lt;26.6),0.3,IF(AND(B7="typology 2",D7&gt;26.5),0.1,IF(AND(B7="typology 3",D7&lt;6),0.1,IF(AND(B7="typology 3",D7&lt;7),0.1,IF(AND(B7="typology 3",D7&lt;10.8),0.3,IF(AND(B7="typology 3",D7&lt;13.2),0.9,IF(AND(B7="typology 3",D7&lt;14.4),0.9,IF(AND(B7="typology 3",D7&lt;15.6),0.5,IF(AND(B7="typology 3",D7&gt;15.5),0.3,IF(AND(B7="typology 4.1",(D7-F7)&lt;9.8),0.1,IF(AND(B7="typology 4.1",(D7-F7)&lt;11.2),0.3,IF(AND(B7="typology 4.1",(D7-F7)&lt;16.8),0.5,IF(AND(B7="typology 4.1",(D7-F7)&lt;18.2),0.5,IF(AND(B7="typology 4.1",(D7-F7)&lt;19.6),0.7,IF(AND(B7="typology 4.1",(D7-F7)&lt;21),0.3,IF(AND(B7="typology 4.1",(D7-F7)&gt;20.9),0.3,IF(AND(B7="typology 4.2",(D7-F7)&lt;13.3),0.1,IF(AND(B7="typology 4.2",(D7-F7)&lt;15.2),0.1,IF(AND(B7="typology 4.2",(D7-F7)&lt;22.8),0.7,IF(AND(B7="typology 4.2",(D7-F7)&lt;24.7),0.7,IF(AND(B7="typology 4.2",(D7-F7)&lt;26.6),0.3,IF(AND(B7="typology 4.2",(D7-F7)&gt;26.5),0.1,IF(AND(B7="typology 4.3",(D7-F7)&lt;6),0.1,IF(AND(B7="typology 4.3",(D7-F7)&lt;7),0.1,IF(AND(B7="typology 4.3",(D7-F7)&lt;10.8),0.3,IF(AND(B7="typology 4.3",(D7-F7)&lt;13.2),0.9,IF(AND(B7="typology 4.3",(D7-F7)&lt;14.4),0.9,IF(AND(B7="typology 4.3",(D7-F7)&lt;15.6),0.5,IF(AND(B7="typology 4.3",(D7-F7)&gt;15.5),0.3,0))))))))))))))))))))))))))))))))))))))))</f>
        <v>0.5</v>
      </c>
      <c r="J7" s="91">
        <f>AVERAGE(G7:I7)</f>
        <v>0.5</v>
      </c>
    </row>
    <row r="8" spans="1:28" x14ac:dyDescent="0.7">
      <c r="A8" s="81"/>
      <c r="B8" s="72" t="str">
        <f>IF(B7="typology 1","central corridor",IF(B7="typology 2","double corridor",IF(B7="typology 3","peripheral corridor",IF(B7="typology 4.1","atrium + central corridor",IF(B7="typology 4.2","atrium + double corridor",IF(B7="typology 4.3","atrium + peripheral corridor","-"))))))</f>
        <v>central corridor</v>
      </c>
      <c r="C8" s="46"/>
      <c r="D8" s="74"/>
      <c r="E8" s="74"/>
      <c r="F8" s="74"/>
      <c r="G8" s="25"/>
      <c r="H8" s="47"/>
      <c r="I8" s="31"/>
      <c r="J8" s="91"/>
    </row>
    <row r="9" spans="1:28" x14ac:dyDescent="0.7">
      <c r="A9" s="79"/>
      <c r="B9" s="69"/>
      <c r="C9" s="41"/>
      <c r="D9" s="76"/>
      <c r="E9" s="76"/>
      <c r="F9" s="76"/>
      <c r="G9" s="42"/>
      <c r="H9" s="43"/>
      <c r="I9" s="44"/>
      <c r="J9" s="90"/>
    </row>
    <row r="10" spans="1:28" x14ac:dyDescent="0.7">
      <c r="A10" s="98"/>
      <c r="B10" s="70" t="s">
        <v>127</v>
      </c>
      <c r="D10" s="74"/>
      <c r="E10" s="74"/>
      <c r="F10" s="74"/>
      <c r="G10" s="25"/>
      <c r="H10" s="47"/>
      <c r="I10" s="31"/>
      <c r="J10" s="92"/>
    </row>
    <row r="11" spans="1:28" x14ac:dyDescent="0.7">
      <c r="A11" s="81" t="s">
        <v>125</v>
      </c>
      <c r="B11" s="71" t="s">
        <v>128</v>
      </c>
      <c r="D11" s="74" t="s">
        <v>129</v>
      </c>
      <c r="E11" s="74"/>
      <c r="F11" s="99" t="s">
        <v>26</v>
      </c>
      <c r="G11" s="25">
        <f>IF(F11="yes",0.9, IF(F11="no",0.1))</f>
        <v>0.1</v>
      </c>
      <c r="H11" s="47">
        <f>IF(F11="yes",0.9, IF(F11="no",0.1))</f>
        <v>0.1</v>
      </c>
      <c r="I11" s="31">
        <f>IF(F11="yes",0.9, IF(F11="no",0.1))</f>
        <v>0.1</v>
      </c>
      <c r="J11" s="91">
        <f>AVERAGE(G11:I11)</f>
        <v>0.10000000000000002</v>
      </c>
    </row>
    <row r="12" spans="1:28" x14ac:dyDescent="0.7">
      <c r="A12" s="98"/>
      <c r="B12" s="71"/>
      <c r="D12" s="74"/>
      <c r="E12" s="74"/>
      <c r="F12" s="74"/>
      <c r="G12" s="25"/>
      <c r="H12" s="47"/>
      <c r="I12" s="31"/>
      <c r="J12" s="92"/>
    </row>
    <row r="13" spans="1:28" x14ac:dyDescent="0.7">
      <c r="A13" s="80"/>
      <c r="B13" s="73" t="s">
        <v>20</v>
      </c>
      <c r="C13" s="36"/>
      <c r="D13" s="75"/>
      <c r="E13" s="75"/>
      <c r="F13" s="75"/>
      <c r="G13" s="38"/>
      <c r="H13" s="39"/>
      <c r="I13" s="40"/>
      <c r="J13" s="89"/>
      <c r="AB13" t="s">
        <v>0</v>
      </c>
    </row>
    <row r="14" spans="1:28" x14ac:dyDescent="0.7">
      <c r="A14" s="81" t="s">
        <v>66</v>
      </c>
      <c r="B14" s="74">
        <v>90</v>
      </c>
      <c r="C14"/>
      <c r="D14" s="74"/>
      <c r="E14" s="74"/>
      <c r="F14" s="74"/>
      <c r="G14" s="25">
        <f>IF(B14&gt;135,0.1,IF(B14&gt;120,0.4,IF(B14&gt;105,0.8,IF(B14&gt;83,0.9,IF(B14&gt;70,0.8,IF(B14&gt;50,0.4,0.1))))))</f>
        <v>0.9</v>
      </c>
      <c r="H14" s="47">
        <f>IF(B14&gt;135,0.1,IF(B14&gt;120,0.4,IF(B14&gt;105,0.8,IF(B14&gt;83,0.9,IF(B14&gt;70,0.8,IF(B14&gt;50,0.4,0.1))))))</f>
        <v>0.9</v>
      </c>
      <c r="I14" s="31">
        <f>IF(B14&gt;135,0.1,IF(B14&gt;120,0.1,IF(B14&gt;105,0.8,IF(B14&gt;83,0.9,IF(B14&gt;70,0.8,IF(B14&gt;50,0.1,0.1))))))</f>
        <v>0.9</v>
      </c>
      <c r="J14" s="92">
        <f>AVERAGE(G14:I14)</f>
        <v>0.9</v>
      </c>
      <c r="AB14" t="s">
        <v>1</v>
      </c>
    </row>
    <row r="15" spans="1:28" x14ac:dyDescent="0.7">
      <c r="A15" s="79"/>
      <c r="B15" s="69"/>
      <c r="C15" s="41"/>
      <c r="D15" s="76"/>
      <c r="E15" s="76"/>
      <c r="F15" s="76"/>
      <c r="G15" s="42"/>
      <c r="H15" s="43"/>
      <c r="I15" s="44"/>
      <c r="J15" s="90"/>
      <c r="AB15" t="s">
        <v>2</v>
      </c>
    </row>
    <row r="16" spans="1:28" x14ac:dyDescent="0.7">
      <c r="A16" s="80"/>
      <c r="B16" s="70" t="s">
        <v>21</v>
      </c>
      <c r="C16" s="36"/>
      <c r="D16" s="75"/>
      <c r="E16" s="75"/>
      <c r="F16" s="75"/>
      <c r="G16" s="38"/>
      <c r="H16" s="39"/>
      <c r="I16" s="40"/>
      <c r="J16" s="89"/>
    </row>
    <row r="17" spans="1:28" x14ac:dyDescent="0.7">
      <c r="A17" s="81" t="s">
        <v>67</v>
      </c>
      <c r="B17" s="71" t="s">
        <v>22</v>
      </c>
      <c r="C17" s="46" t="s">
        <v>19</v>
      </c>
      <c r="D17" s="74"/>
      <c r="E17" s="74"/>
      <c r="F17" s="74"/>
      <c r="G17" s="25">
        <f>IF(B17="all cores are integrated",0.9,IF(B17="at least one other core is integrated with the loadbearing core",0.7,IF(B17="there is no integration of cores",0.3,0)))</f>
        <v>0.9</v>
      </c>
      <c r="H17" s="47">
        <f>IF(B17="all cores are integrated",0.9,IF(B17="at least one other core is integrated with the loadbearing core",0.7,IF(B17="there is no integration of cores",0.3,0)))</f>
        <v>0.9</v>
      </c>
      <c r="I17" s="31">
        <f>IF(B17="all cores are integrated",0.9,IF(B17="at least one other core is integrated with the loadbearing core",0.7,IF(B17="there is no integration of cores",0.3,0)))</f>
        <v>0.9</v>
      </c>
      <c r="J17" s="91">
        <f>AVERAGE(G17:I17)</f>
        <v>0.9</v>
      </c>
      <c r="AB17" t="s">
        <v>9</v>
      </c>
    </row>
    <row r="18" spans="1:28" x14ac:dyDescent="0.7">
      <c r="A18" s="79"/>
      <c r="B18" s="69"/>
      <c r="C18" s="41"/>
      <c r="D18" s="76"/>
      <c r="E18" s="76"/>
      <c r="F18" s="76"/>
      <c r="G18" s="42"/>
      <c r="H18" s="43"/>
      <c r="I18" s="44"/>
      <c r="J18" s="90"/>
      <c r="AB18" t="s">
        <v>10</v>
      </c>
    </row>
    <row r="19" spans="1:28" x14ac:dyDescent="0.7">
      <c r="A19" s="80"/>
      <c r="B19" s="70" t="s">
        <v>27</v>
      </c>
      <c r="C19" s="36"/>
      <c r="D19" s="73" t="s">
        <v>28</v>
      </c>
      <c r="E19" s="73"/>
      <c r="F19" s="75"/>
      <c r="G19" s="38"/>
      <c r="H19" s="39"/>
      <c r="I19" s="40"/>
      <c r="J19" s="89"/>
      <c r="AB19" t="s">
        <v>11</v>
      </c>
    </row>
    <row r="20" spans="1:28" x14ac:dyDescent="0.7">
      <c r="A20" s="81" t="s">
        <v>68</v>
      </c>
      <c r="B20" s="71">
        <v>14</v>
      </c>
      <c r="D20" s="74" t="s">
        <v>26</v>
      </c>
      <c r="E20" s="77" t="s">
        <v>19</v>
      </c>
      <c r="F20" s="74"/>
      <c r="G20" s="25">
        <f>IF(D20="yes",0.9,IF(B20&lt;15,0.9,0.1))</f>
        <v>0.9</v>
      </c>
      <c r="H20" s="47">
        <f>IF(D20="yes",0.9,IF(B20&lt;15,0.9,0.1))</f>
        <v>0.9</v>
      </c>
      <c r="I20" s="31">
        <f>IF(D20="yes",0.9,IF(B20&lt;15,0.9,0.1))</f>
        <v>0.9</v>
      </c>
      <c r="J20" s="91">
        <f>AVERAGE(G20:I20)</f>
        <v>0.9</v>
      </c>
      <c r="AB20" t="s">
        <v>39</v>
      </c>
    </row>
    <row r="21" spans="1:28" x14ac:dyDescent="0.7">
      <c r="A21" s="79"/>
      <c r="B21" s="69"/>
      <c r="C21" s="41"/>
      <c r="D21" s="76"/>
      <c r="E21" s="76"/>
      <c r="F21" s="76"/>
      <c r="G21" s="42"/>
      <c r="H21" s="43"/>
      <c r="I21" s="44"/>
      <c r="J21" s="90"/>
      <c r="AB21" t="s">
        <v>40</v>
      </c>
    </row>
    <row r="22" spans="1:28" x14ac:dyDescent="0.7">
      <c r="A22" s="80"/>
      <c r="B22" s="70" t="s">
        <v>30</v>
      </c>
      <c r="C22" s="36"/>
      <c r="D22" s="75"/>
      <c r="E22" s="75"/>
      <c r="F22" s="75"/>
      <c r="G22" s="38"/>
      <c r="H22" s="39"/>
      <c r="I22" s="40"/>
      <c r="J22" s="89"/>
      <c r="AB22" t="s">
        <v>41</v>
      </c>
    </row>
    <row r="23" spans="1:28" x14ac:dyDescent="0.7">
      <c r="A23" s="81" t="s">
        <v>70</v>
      </c>
      <c r="B23" s="71" t="s">
        <v>32</v>
      </c>
      <c r="C23" s="46" t="s">
        <v>19</v>
      </c>
      <c r="D23" s="74"/>
      <c r="E23" s="74"/>
      <c r="F23" s="74"/>
      <c r="G23" s="25">
        <f>IF(B23="central",0.6,IF(B23="peripheral",0.9,IF(B23="off-centre",0.7,0)))</f>
        <v>0.9</v>
      </c>
      <c r="H23" s="47">
        <f>IF(B23="central",0.4,IF(B23="peripheral",0.9,IF(B23="off-centre",0.7,0)))</f>
        <v>0.9</v>
      </c>
      <c r="I23" s="31">
        <f>IF(B23="central",0.4,IF(B23="peripheral",0.9,IF(B23="off-centre",0.7,0)))</f>
        <v>0.9</v>
      </c>
      <c r="J23" s="91">
        <f>AVERAGE(G23:I23)</f>
        <v>0.9</v>
      </c>
      <c r="AB23" t="s">
        <v>15</v>
      </c>
    </row>
    <row r="24" spans="1:28" x14ac:dyDescent="0.7">
      <c r="A24" s="79"/>
      <c r="B24" s="69"/>
      <c r="C24" s="41"/>
      <c r="D24" s="76"/>
      <c r="E24" s="76"/>
      <c r="F24" s="76"/>
      <c r="G24" s="42"/>
      <c r="H24" s="43"/>
      <c r="I24" s="44"/>
      <c r="J24" s="90"/>
      <c r="AB24" t="s">
        <v>16</v>
      </c>
    </row>
    <row r="25" spans="1:28" x14ac:dyDescent="0.7">
      <c r="A25" s="80"/>
      <c r="B25" s="70" t="s">
        <v>33</v>
      </c>
      <c r="C25" s="36"/>
      <c r="D25" s="75"/>
      <c r="E25" s="75"/>
      <c r="F25" s="75"/>
      <c r="G25" s="38"/>
      <c r="H25" s="39"/>
      <c r="I25" s="40"/>
      <c r="J25" s="89"/>
    </row>
    <row r="26" spans="1:28" x14ac:dyDescent="0.7">
      <c r="A26" s="81" t="s">
        <v>72</v>
      </c>
      <c r="B26" s="71" t="s">
        <v>34</v>
      </c>
      <c r="C26" s="46" t="s">
        <v>19</v>
      </c>
      <c r="D26" s="74"/>
      <c r="E26" s="74"/>
      <c r="F26" s="74"/>
      <c r="G26" s="25">
        <f>IF(B26="central",0.5,IF(B26="peripheral",0.9,IF(B26="off-centre",0.7,IF(B26="central and off-centre (if multiple cores)",0.3,0))))</f>
        <v>0.7</v>
      </c>
      <c r="H26" s="47">
        <f>IF(B26="central",0.3,IF(B26="peripheral",0.9,IF(B26="off-centre",0.7,IF(B26="central and off-centre (if multiple cores)",0.1,0))))</f>
        <v>0.7</v>
      </c>
      <c r="I26" s="31">
        <f>IF(B26="central",0.3,IF(B26="peripheral",0.9,IF(B26="off-centre",0.7,IF(B26="central and off-centre (if multiple cores)",0.1,0))))</f>
        <v>0.7</v>
      </c>
      <c r="J26" s="91">
        <f>AVERAGE(G26:I26)</f>
        <v>0.69999999999999984</v>
      </c>
      <c r="AB26" t="s">
        <v>22</v>
      </c>
    </row>
    <row r="27" spans="1:28" x14ac:dyDescent="0.7">
      <c r="A27" s="79"/>
      <c r="B27" s="69"/>
      <c r="C27" s="41"/>
      <c r="D27" s="76"/>
      <c r="E27" s="76"/>
      <c r="F27" s="76"/>
      <c r="G27" s="42"/>
      <c r="H27" s="43"/>
      <c r="I27" s="44"/>
      <c r="J27" s="90"/>
      <c r="AB27" t="s">
        <v>23</v>
      </c>
    </row>
    <row r="28" spans="1:28" x14ac:dyDescent="0.7">
      <c r="A28" s="80"/>
      <c r="B28" s="70" t="s">
        <v>35</v>
      </c>
      <c r="C28" s="36"/>
      <c r="D28" s="75"/>
      <c r="E28" s="75"/>
      <c r="F28" s="75"/>
      <c r="G28" s="38"/>
      <c r="H28" s="39"/>
      <c r="I28" s="40"/>
      <c r="J28" s="89"/>
      <c r="AB28" t="s">
        <v>24</v>
      </c>
    </row>
    <row r="29" spans="1:28" x14ac:dyDescent="0.7">
      <c r="A29" s="81" t="s">
        <v>73</v>
      </c>
      <c r="B29" s="71" t="s">
        <v>36</v>
      </c>
      <c r="C29" s="46" t="s">
        <v>19</v>
      </c>
      <c r="D29" s="74"/>
      <c r="E29" s="74"/>
      <c r="F29" s="74"/>
      <c r="G29" s="25">
        <f>IF(B29="parallel to the building's long side",0.3,IF(B29="parallel to the building's short side",0.9,0))</f>
        <v>0.3</v>
      </c>
      <c r="H29" s="47">
        <f>IF(B29="parallel to the building's long side",0.3,IF(B29="parallel to the building's short side",0.9,0))</f>
        <v>0.3</v>
      </c>
      <c r="I29" s="31">
        <f>IF(B29="parallel to the building's long side",0.3,IF(B29="parallel to the building's short side",0.9,0))</f>
        <v>0.3</v>
      </c>
      <c r="J29" s="91">
        <f>AVERAGE(G29:I29)</f>
        <v>0.3</v>
      </c>
    </row>
    <row r="30" spans="1:28" x14ac:dyDescent="0.7">
      <c r="A30" s="79"/>
      <c r="B30" s="69"/>
      <c r="C30" s="41"/>
      <c r="D30" s="76"/>
      <c r="E30" s="76"/>
      <c r="F30" s="76"/>
      <c r="G30" s="42"/>
      <c r="H30" s="43"/>
      <c r="I30" s="44"/>
      <c r="J30" s="90"/>
      <c r="AB30" t="s">
        <v>25</v>
      </c>
    </row>
    <row r="31" spans="1:28" x14ac:dyDescent="0.7">
      <c r="A31" s="80"/>
      <c r="B31" s="70" t="s">
        <v>62</v>
      </c>
      <c r="C31" s="36"/>
      <c r="D31" s="75"/>
      <c r="E31" s="75"/>
      <c r="F31" s="75"/>
      <c r="G31" s="38"/>
      <c r="H31" s="39"/>
      <c r="I31" s="40"/>
      <c r="J31" s="89"/>
      <c r="AB31" t="s">
        <v>26</v>
      </c>
    </row>
    <row r="32" spans="1:28" x14ac:dyDescent="0.7">
      <c r="A32" s="81" t="s">
        <v>83</v>
      </c>
      <c r="B32" s="71" t="s">
        <v>31</v>
      </c>
      <c r="C32" s="46" t="s">
        <v>19</v>
      </c>
      <c r="D32" s="74"/>
      <c r="E32" s="74"/>
      <c r="F32" s="74"/>
      <c r="G32" s="25">
        <f>IF(B32="central",0.3,IF(B32="peripheral",0.9,IF(B32="off-centre",0.7,0)))</f>
        <v>0.3</v>
      </c>
      <c r="H32" s="47">
        <f>IF(B32="central",0.3,IF(B32="peripheral",0.9,IF(B32="off-centre",0.5,0)))</f>
        <v>0.3</v>
      </c>
      <c r="I32" s="31">
        <f>IF(B32="central",0.3,IF(B32="peripheral",0.9,IF(B32="off-centre",0.5,0)))</f>
        <v>0.3</v>
      </c>
      <c r="J32" s="91">
        <f>AVERAGE(G32:I32)</f>
        <v>0.3</v>
      </c>
    </row>
    <row r="33" spans="1:28" x14ac:dyDescent="0.7">
      <c r="A33" s="79"/>
      <c r="B33" s="69"/>
      <c r="C33" s="41"/>
      <c r="D33" s="76"/>
      <c r="E33" s="76"/>
      <c r="F33" s="76"/>
      <c r="G33" s="42"/>
      <c r="H33" s="43"/>
      <c r="I33" s="44"/>
      <c r="J33" s="90"/>
      <c r="Z33" t="s">
        <v>110</v>
      </c>
      <c r="AB33" s="32" t="s">
        <v>31</v>
      </c>
    </row>
    <row r="34" spans="1:28" x14ac:dyDescent="0.7">
      <c r="A34" s="80"/>
      <c r="B34" s="70" t="s">
        <v>29</v>
      </c>
      <c r="C34" s="36"/>
      <c r="D34" s="75"/>
      <c r="E34" s="75"/>
      <c r="F34" s="75"/>
      <c r="G34" s="38"/>
      <c r="H34" s="39"/>
      <c r="I34" s="40"/>
      <c r="J34" s="89"/>
      <c r="AB34" s="32" t="s">
        <v>32</v>
      </c>
    </row>
    <row r="35" spans="1:28" x14ac:dyDescent="0.7">
      <c r="A35" s="81" t="s">
        <v>69</v>
      </c>
      <c r="B35" s="71">
        <v>36</v>
      </c>
      <c r="D35" s="74"/>
      <c r="E35" s="74"/>
      <c r="F35" s="74"/>
      <c r="G35" s="25">
        <f>IF(B35&lt;12,0.1,IF(B35&lt;17.5,0.5,IF(B35&lt;22.8,0.7,IF(B35&lt;26.3,0.8,IF(B35&lt;31.5,0.9,IF(B35&gt;31.4,0.1,0))))))</f>
        <v>0.1</v>
      </c>
      <c r="H35" s="47">
        <f>IF(B35&lt;12,0.1,IF(B35&lt;17.5,0.3,IF(B35&lt;22.8,0.3,IF(B35&lt;26.3,0.5,IF(B35&lt;31.5,0.9,IF(B35&gt;31.4,0.9,0))))))</f>
        <v>0.9</v>
      </c>
      <c r="I35" s="31">
        <f>IF(B35&lt;12,0.1,IF(B35&lt;17.5,0.1,IF(B35&lt;22.8,0.1,IF(B35&lt;26.3,0.3,IF(B35&lt;31.5,0.9,IF(B35&gt;31.4,0.9,0))))))</f>
        <v>0.9</v>
      </c>
      <c r="J35" s="91">
        <f>AVERAGE(G35:I35)</f>
        <v>0.6333333333333333</v>
      </c>
      <c r="AB35" t="s">
        <v>34</v>
      </c>
    </row>
    <row r="36" spans="1:28" x14ac:dyDescent="0.7">
      <c r="A36" s="79"/>
      <c r="B36" s="69"/>
      <c r="C36" s="41"/>
      <c r="D36" s="76"/>
      <c r="E36" s="76"/>
      <c r="F36" s="76"/>
      <c r="G36" s="42"/>
      <c r="H36" s="43"/>
      <c r="I36" s="44"/>
      <c r="J36" s="90"/>
      <c r="AB36" s="33" t="s">
        <v>31</v>
      </c>
    </row>
    <row r="37" spans="1:28" x14ac:dyDescent="0.7">
      <c r="A37" s="80"/>
      <c r="B37" s="70" t="s">
        <v>63</v>
      </c>
      <c r="C37" s="36"/>
      <c r="D37" s="75"/>
      <c r="E37" s="75"/>
      <c r="F37" s="75"/>
      <c r="G37" s="38"/>
      <c r="H37" s="39"/>
      <c r="I37" s="40"/>
      <c r="J37" s="89"/>
      <c r="Z37" t="s">
        <v>109</v>
      </c>
      <c r="AB37" s="33" t="s">
        <v>34</v>
      </c>
    </row>
    <row r="38" spans="1:28" x14ac:dyDescent="0.7">
      <c r="A38" s="81" t="s">
        <v>96</v>
      </c>
      <c r="B38" s="71" t="s">
        <v>34</v>
      </c>
      <c r="C38" s="46" t="s">
        <v>19</v>
      </c>
      <c r="D38" s="74"/>
      <c r="E38" s="74"/>
      <c r="F38" s="74"/>
      <c r="G38" s="25">
        <f>IF(B38="central",0.3,IF(B38="off-centre",0.7,0))</f>
        <v>0.7</v>
      </c>
      <c r="H38" s="47">
        <f>IF(B38="central",0.3,IF(B38="off-centre",0.7,0))</f>
        <v>0.7</v>
      </c>
      <c r="I38" s="31">
        <f>IF(B38="central",0.3,IF(B38="off-centre",0.7,0))</f>
        <v>0.7</v>
      </c>
      <c r="J38" s="91">
        <f>AVERAGE(G38:I38)</f>
        <v>0.69999999999999984</v>
      </c>
      <c r="AB38" s="33" t="s">
        <v>32</v>
      </c>
    </row>
    <row r="39" spans="1:28" x14ac:dyDescent="0.7">
      <c r="A39" s="79"/>
      <c r="B39" s="69"/>
      <c r="C39" s="41"/>
      <c r="D39" s="76"/>
      <c r="E39" s="76"/>
      <c r="F39" s="76"/>
      <c r="G39" s="42"/>
      <c r="H39" s="43"/>
      <c r="I39" s="44"/>
      <c r="J39" s="90"/>
      <c r="AB39" t="s">
        <v>112</v>
      </c>
    </row>
    <row r="40" spans="1:28" x14ac:dyDescent="0.7">
      <c r="A40" s="80"/>
      <c r="B40" s="70" t="s">
        <v>14</v>
      </c>
      <c r="C40" s="45"/>
      <c r="D40" s="73" t="s">
        <v>17</v>
      </c>
      <c r="E40" s="73"/>
      <c r="F40" s="73"/>
      <c r="G40" s="38"/>
      <c r="H40" s="39"/>
      <c r="I40" s="40"/>
      <c r="J40" s="89"/>
      <c r="AB40" t="s">
        <v>36</v>
      </c>
    </row>
    <row r="41" spans="1:28" x14ac:dyDescent="0.7">
      <c r="A41" s="81" t="s">
        <v>71</v>
      </c>
      <c r="B41" s="71" t="s">
        <v>16</v>
      </c>
      <c r="C41" s="46" t="s">
        <v>19</v>
      </c>
      <c r="D41" s="74">
        <v>3379</v>
      </c>
      <c r="E41" s="74"/>
      <c r="F41" s="74"/>
      <c r="G41" s="25">
        <f>IF(AND(B41="solid-floor structure",D41&lt;3200),0.1,IF(AND(B41="solid-floor structure",D41&lt;3400),0.3,IF(AND(B41="solid-floor structure",D41&lt;3500),0.5,IF(AND(B41="solid-floor structure",D41&lt;3600),0.7,IF(AND(B41="solid-floor structure",D41&gt;3599),0.9,IF(AND(B41="beam structure",D41&lt;3000),0.1,IF(AND(B41="beam structure",D41&lt;3200),0.3,IF(AND(B41="beam structure",D41&lt;3300),0.5,IF(AND(B41="beam structure",D41&lt;3400),0.7,IF(AND(B41="beam structure",D41&gt;3399),0.9,0))))))))))</f>
        <v>0.7</v>
      </c>
      <c r="H41" s="47">
        <f>IF(AND(B41="solid-floor structure",D41&lt;3500),0.1,IF(AND(B41="solid-floor structure",D41&lt;3700),0.3,IF(AND(B41="solid-floor structure",D41&lt;3800),0.5,IF(AND(B41="solid-floor structure",D41&lt;3900),0.7,IF(AND(B41="solid-floor structure",D41&gt;3899),0.9,IF(AND(B41="beam structure",D41&lt;3300),0.1,IF(AND(B41="beam structure",D41&lt;3500),0.3,IF(AND(B41="beam structure",D41&lt;3600),0.5,IF(AND(B41="beam structure",D41&lt;3700),0.7,IF(AND(B41="beam structure",D41&gt;3699),0.9,0))))))))))</f>
        <v>0.3</v>
      </c>
      <c r="I41" s="31">
        <f>IF(AND(B41="solid-floor structure",D41&lt;3600),0.1,IF(AND(B41="solid-floor structure",D41&lt;3800),0.3,IF(AND(B41="solid-floor structure",D41&lt;3900),0.5,IF(AND(B41="solid-floor structure",D41&lt;4000),0.7,IF(AND(B41="solid-floor structure",D41&gt;3999),0.9,IF(AND(B41="beam structure",D41&lt;3400),0.1,IF(AND(B41="beam structure",D41&lt;3600),0.3,IF(AND(B41="beam structure",D41&lt;3700),0.5,IF(AND(B41="beam structure",D41&lt;3800),0.7,IF(AND(B41="beam structure",D41&gt;3799),0.9,0))))))))))</f>
        <v>0.1</v>
      </c>
      <c r="J41" s="91">
        <f>AVERAGE(G41:I41)</f>
        <v>0.3666666666666667</v>
      </c>
      <c r="AB41" t="s">
        <v>37</v>
      </c>
    </row>
    <row r="42" spans="1:28" x14ac:dyDescent="0.7">
      <c r="A42" s="79"/>
      <c r="B42" s="69"/>
      <c r="C42" s="41"/>
      <c r="D42" s="76"/>
      <c r="E42" s="76"/>
      <c r="F42" s="76"/>
      <c r="G42" s="42"/>
      <c r="H42" s="43"/>
      <c r="I42" s="44"/>
      <c r="J42" s="90"/>
    </row>
    <row r="43" spans="1:28" x14ac:dyDescent="0.7">
      <c r="A43" s="80"/>
      <c r="B43" s="70" t="s">
        <v>42</v>
      </c>
      <c r="C43" s="45"/>
      <c r="D43" s="73" t="s">
        <v>43</v>
      </c>
      <c r="E43" s="75"/>
      <c r="F43" s="75"/>
      <c r="G43" s="38"/>
      <c r="H43" s="39"/>
      <c r="I43" s="40"/>
      <c r="J43" s="89"/>
      <c r="AB43" t="s">
        <v>44</v>
      </c>
    </row>
    <row r="44" spans="1:28" x14ac:dyDescent="0.7">
      <c r="A44" s="81" t="s">
        <v>75</v>
      </c>
      <c r="B44" s="71" t="s">
        <v>45</v>
      </c>
      <c r="C44" s="46" t="s">
        <v>19</v>
      </c>
      <c r="D44" s="74" t="s">
        <v>46</v>
      </c>
      <c r="E44" s="77" t="s">
        <v>19</v>
      </c>
      <c r="F44" s="74"/>
      <c r="G44" s="25">
        <f>IF(AND(B44="the horizontal services net is integrated within the load-bearing structure",D44="access points are included"),0.5,IF(AND(B44="the horizontal services net is integrated within the load-bearing structure",D44="there are no access point"),0.1,IF(AND(B44="the horizontal services net is located in a separate zone (not integrated)",D44="there are no access point"),0.5,IF(AND(B44="the horizontal services net is located in a separate zone (not integrated)",D44="access points are included"),0.9,0))))</f>
        <v>0.9</v>
      </c>
      <c r="H44" s="47">
        <f>IF(AND(B44="the horizontal services net is integrated within the load-bearing structure",D44="access points are included"),0.5,IF(AND(B44="the horizontal services net is integrated within the load-bearing structure",D44="there are no access point"),0.1,IF(AND(B44="the horizontal services net is located in a separate zone (not integrated)",D44="there are no access point"),0.5,IF(AND(B44="the horizontal services net is located in a separate zone (not integrated)",D44="access points are included"),0.9,0))))</f>
        <v>0.9</v>
      </c>
      <c r="I44" s="31">
        <f>IF(AND(B44="the horizontal services net is integrated within the load-bearing structure",D44="access points are included"),0.5,IF(AND(B44="the horizontal services net is integrated within the load-bearing structure",D44="there are no access point"),0.1,IF(AND(B44="the horizontal services net is located in a separate zone (not integrated)",D44="there are no access point"),0.5,IF(AND(B44="the horizontal services net is located in a separate zone (not integrated)",D44="access points are included"),0.9,0))))</f>
        <v>0.9</v>
      </c>
      <c r="J44" s="91">
        <f>AVERAGE(G44:I44)</f>
        <v>0.9</v>
      </c>
      <c r="AB44" t="s">
        <v>45</v>
      </c>
    </row>
    <row r="45" spans="1:28" x14ac:dyDescent="0.7">
      <c r="A45" s="79"/>
      <c r="B45" s="69"/>
      <c r="C45" s="41"/>
      <c r="D45" s="76"/>
      <c r="E45" s="76"/>
      <c r="F45" s="76"/>
      <c r="G45" s="42"/>
      <c r="H45" s="43"/>
      <c r="I45" s="44"/>
      <c r="J45" s="90"/>
    </row>
    <row r="46" spans="1:28" x14ac:dyDescent="0.7">
      <c r="A46" s="80"/>
      <c r="B46" s="70" t="s">
        <v>48</v>
      </c>
      <c r="C46" s="36"/>
      <c r="D46" s="75"/>
      <c r="E46" s="75"/>
      <c r="F46" s="75"/>
      <c r="G46" s="38"/>
      <c r="H46" s="39"/>
      <c r="I46" s="40"/>
      <c r="J46" s="89"/>
      <c r="AB46" t="s">
        <v>46</v>
      </c>
    </row>
    <row r="47" spans="1:28" x14ac:dyDescent="0.7">
      <c r="A47" s="81" t="s">
        <v>76</v>
      </c>
      <c r="B47" s="71">
        <v>140</v>
      </c>
      <c r="D47" s="74"/>
      <c r="E47" s="74"/>
      <c r="F47" s="74"/>
      <c r="G47" s="25">
        <f>IF(B47&lt;100,0.1,IF(B47&lt;150,0.3,IF(B47&lt;200,0.5,IF(B47&lt;300,0.7,IF(B47&lt;500,0.9,IF(B47&gt;499,0.9,0))))))</f>
        <v>0.3</v>
      </c>
      <c r="H47" s="47">
        <f>IF(B47&lt;100,0.1,IF(B47&lt;150,0.1,IF(B47&lt;200,0.3,IF(B47&lt;300,0.5,IF(B47&lt;500,0.7,IF(B47&gt;499,0.9,0))))))</f>
        <v>0.1</v>
      </c>
      <c r="I47" s="31">
        <f>IF(B47&lt;100,0.1,IF(B47&lt;150,0.1,IF(B47&lt;200,0.1,IF(B47&lt;300,0.3,IF(B47&lt;500,0.5,IF(B47&gt;499,0.9,0))))))</f>
        <v>0.1</v>
      </c>
      <c r="J47" s="91">
        <f>AVERAGE(G47:I47)</f>
        <v>0.16666666666666666</v>
      </c>
      <c r="AB47" t="s">
        <v>47</v>
      </c>
    </row>
    <row r="48" spans="1:28" x14ac:dyDescent="0.7">
      <c r="A48" s="79"/>
      <c r="B48" s="69"/>
      <c r="C48" s="41"/>
      <c r="D48" s="76"/>
      <c r="E48" s="76"/>
      <c r="F48" s="76"/>
      <c r="G48" s="42"/>
      <c r="H48" s="43"/>
      <c r="I48" s="44"/>
      <c r="J48" s="90"/>
    </row>
    <row r="49" spans="1:28" x14ac:dyDescent="0.7">
      <c r="A49" s="80"/>
      <c r="B49" s="70" t="s">
        <v>38</v>
      </c>
      <c r="C49" s="36"/>
      <c r="D49" s="75"/>
      <c r="E49" s="75"/>
      <c r="F49" s="75"/>
      <c r="G49" s="38"/>
      <c r="H49" s="39"/>
      <c r="I49" s="40"/>
      <c r="J49" s="89"/>
      <c r="AB49" t="s">
        <v>50</v>
      </c>
    </row>
    <row r="50" spans="1:28" x14ac:dyDescent="0.7">
      <c r="A50" s="81" t="s">
        <v>74</v>
      </c>
      <c r="B50" s="71">
        <v>5</v>
      </c>
      <c r="C50" s="46" t="s">
        <v>19</v>
      </c>
      <c r="D50" s="74"/>
      <c r="E50" s="74"/>
      <c r="F50" s="74"/>
      <c r="G50" s="32">
        <f>IF(B50&lt;2,0.1,IF(B50=2,0.3,IF(B50=3,0.5,IF(B50=4,0.7,IF(B50=5,0.9,IF(B50&gt;4.9,0.9,0))))))</f>
        <v>0.9</v>
      </c>
      <c r="H50" s="47">
        <f>IF(B50&lt;2,0.1,IF(B50=2,0.1,IF(B50=3,0.5,IF(B50=4,0.7,IF(B50=5,0.9,IF(B50&gt;4.9,0.9,0))))))</f>
        <v>0.9</v>
      </c>
      <c r="I50" s="31">
        <f>IF(B50&lt;2,0.1,IF(B50=2,0.1,IF(B50=3,0.1,IF(B50=4,0.7,IF(B50=5,0.9,IF(B50&gt;4.9,0.9,0))))))</f>
        <v>0.9</v>
      </c>
      <c r="J50" s="91">
        <f>IF(G50=0.1,0.1,IF(H50=0.1,0.2,IF(I50=0.1,0.2,AVERAGE(G50:I50))))</f>
        <v>0.9</v>
      </c>
      <c r="K50">
        <f>IF(G50=0.1,0.1,IF(AVERAGE(H50:I50)=0.1,0.2,AVERAGE(G50:I50)))</f>
        <v>0.9</v>
      </c>
      <c r="AB50" t="s">
        <v>51</v>
      </c>
    </row>
    <row r="51" spans="1:28" x14ac:dyDescent="0.7">
      <c r="A51" s="79"/>
      <c r="B51" s="69"/>
      <c r="C51" s="41"/>
      <c r="D51" s="76"/>
      <c r="E51" s="76"/>
      <c r="F51" s="76"/>
      <c r="G51" s="42"/>
      <c r="H51" s="43"/>
      <c r="I51" s="44"/>
      <c r="J51" s="90"/>
    </row>
    <row r="52" spans="1:28" x14ac:dyDescent="0.7">
      <c r="A52" s="80"/>
      <c r="B52" s="70" t="s">
        <v>49</v>
      </c>
      <c r="C52" s="36"/>
      <c r="D52" s="75"/>
      <c r="E52" s="75"/>
      <c r="F52" s="75"/>
      <c r="G52" s="38"/>
      <c r="H52" s="39"/>
      <c r="I52" s="40"/>
      <c r="J52" s="89"/>
      <c r="AB52" t="s">
        <v>52</v>
      </c>
    </row>
    <row r="53" spans="1:28" ht="24.9" customHeight="1" x14ac:dyDescent="0.7">
      <c r="A53" s="81" t="s">
        <v>78</v>
      </c>
      <c r="B53" s="71" t="s">
        <v>51</v>
      </c>
      <c r="C53" s="46" t="s">
        <v>19</v>
      </c>
      <c r="D53" s="74"/>
      <c r="E53" s="74"/>
      <c r="F53" s="74"/>
      <c r="G53" s="25">
        <f>IF(B53="façade and main load-bearing structure are integrated",0.1,IF(B53="façade and main load-bearing structure are separated",0.9,0))</f>
        <v>0.9</v>
      </c>
      <c r="H53" s="47">
        <f>IF(B53="façade and main load-bearing structure are integrated",0.1,IF(B53="façade and main load-bearing structure are separated",0.9,0))</f>
        <v>0.9</v>
      </c>
      <c r="I53" s="31">
        <f>IF(B53="façade and main load-bearing structure are integrated",0.1,IF(B53="façade and main load-bearing structure are separated",0.9,0))</f>
        <v>0.9</v>
      </c>
      <c r="J53" s="91">
        <f t="shared" ref="J53:J58" si="0">AVERAGE(G53:I53)</f>
        <v>0.9</v>
      </c>
      <c r="AB53" t="s">
        <v>53</v>
      </c>
    </row>
    <row r="54" spans="1:28" ht="30.3" customHeight="1" x14ac:dyDescent="0.7">
      <c r="A54" s="81" t="s">
        <v>77</v>
      </c>
      <c r="B54" s="71" t="s">
        <v>53</v>
      </c>
      <c r="C54" s="46" t="s">
        <v>19</v>
      </c>
      <c r="D54" s="74"/>
      <c r="E54" s="74"/>
      <c r="F54" s="74"/>
      <c r="G54" s="25">
        <f>IF(B54="installations and main load-bearing structure are integrated",0.1,IF(B54="installations and main load-bearing structure are separated",0.9,0))</f>
        <v>0.9</v>
      </c>
      <c r="H54" s="47">
        <f>IF(B54="installations and main load-bearing structure are integrated",0.1,IF(B54="installations and main load-bearing structure are separated",0.9,0))</f>
        <v>0.9</v>
      </c>
      <c r="I54" s="31">
        <f>IF(B54="installations and main load-bearing structure are integrated",0.1,IF(B54="installations and main load-bearing structure are separated",0.9,0))</f>
        <v>0.9</v>
      </c>
      <c r="J54" s="91">
        <f t="shared" si="0"/>
        <v>0.9</v>
      </c>
    </row>
    <row r="55" spans="1:28" ht="26.4" customHeight="1" x14ac:dyDescent="0.7">
      <c r="A55" s="81" t="s">
        <v>79</v>
      </c>
      <c r="B55" s="71" t="s">
        <v>55</v>
      </c>
      <c r="C55" s="46" t="s">
        <v>19</v>
      </c>
      <c r="D55" s="74"/>
      <c r="E55" s="74"/>
      <c r="F55" s="74"/>
      <c r="G55" s="25">
        <f>IF(B55="partitioning and main load-bearing structure are integrated",0.1,IF(B55="partitioning and main load-bearing structure are separated",0.9,0))</f>
        <v>0.9</v>
      </c>
      <c r="H55" s="47">
        <f>IF(B55="partitioning and main load-bearing structure are integrated",0.1,IF(B55="partitioning and main load-bearing structure are separated",0.9,0))</f>
        <v>0.9</v>
      </c>
      <c r="I55" s="31">
        <f>IF(B55="partitioning and main load-bearing structure are integrated",0.1,IF(B55="partitioning and main load-bearing structure are separated",0.9,0))</f>
        <v>0.9</v>
      </c>
      <c r="J55" s="91">
        <f t="shared" si="0"/>
        <v>0.9</v>
      </c>
      <c r="AB55" t="s">
        <v>54</v>
      </c>
    </row>
    <row r="56" spans="1:28" ht="25.8" customHeight="1" x14ac:dyDescent="0.7">
      <c r="A56" s="81" t="s">
        <v>80</v>
      </c>
      <c r="B56" s="71" t="s">
        <v>56</v>
      </c>
      <c r="C56" s="46" t="s">
        <v>19</v>
      </c>
      <c r="D56" s="74"/>
      <c r="E56" s="74"/>
      <c r="F56" s="74"/>
      <c r="G56" s="25">
        <f>IF(B56="floor and main load-bearing structure are integrated",0.5,IF(B56="floor and main load-bearing structure are separated",0.9,0))</f>
        <v>0.5</v>
      </c>
      <c r="H56" s="47">
        <f>IF(B56="floor and main load-bearing structure are integrated",0.5,IF(B56="floor and main load-bearing structure are separated",0.9,0))</f>
        <v>0.5</v>
      </c>
      <c r="I56" s="31">
        <f>IF(B56="floor and main load-bearing structure are integrated",0.5,IF(B56="floor and main load-bearing structure are separated",0.9,0))</f>
        <v>0.5</v>
      </c>
      <c r="J56" s="91">
        <f t="shared" si="0"/>
        <v>0.5</v>
      </c>
      <c r="AB56" t="s">
        <v>55</v>
      </c>
    </row>
    <row r="57" spans="1:28" ht="24.3" customHeight="1" x14ac:dyDescent="0.7">
      <c r="A57" s="81" t="s">
        <v>81</v>
      </c>
      <c r="B57" s="71" t="s">
        <v>59</v>
      </c>
      <c r="C57" s="46" t="s">
        <v>19</v>
      </c>
      <c r="D57" s="74"/>
      <c r="E57" s="74"/>
      <c r="F57" s="74"/>
      <c r="G57" s="25">
        <f>IF(B57="roof and main load-bearing structure are integrated",0.5,IF(B57="roof and main load-bearing structure are separated",0.9,0))</f>
        <v>0.9</v>
      </c>
      <c r="H57" s="47">
        <f>IF(B57="roof and main load-bearing structure are integrated",0.5,IF(B57="roof and main load-bearing structure are separated",0.9,0))</f>
        <v>0.9</v>
      </c>
      <c r="I57" s="31">
        <f>IF(B57="roof and main load-bearing structure are integrated",0.5,IF(B57="roof and main load-bearing structure are separated",0.9,0))</f>
        <v>0.9</v>
      </c>
      <c r="J57" s="91">
        <f t="shared" si="0"/>
        <v>0.9</v>
      </c>
    </row>
    <row r="58" spans="1:28" ht="26.1" customHeight="1" x14ac:dyDescent="0.7">
      <c r="A58" s="82" t="s">
        <v>82</v>
      </c>
      <c r="B58" s="69" t="s">
        <v>61</v>
      </c>
      <c r="C58" s="48" t="s">
        <v>19</v>
      </c>
      <c r="D58" s="76"/>
      <c r="E58" s="76"/>
      <c r="F58" s="76"/>
      <c r="G58" s="42">
        <f>IF(B58="finishing and main load-bearing structure are integrated",0.3,IF(B58="finishing and main load-bearing structure are separated",0.9,0))</f>
        <v>0.9</v>
      </c>
      <c r="H58" s="43">
        <f>IF(B58="finishing and main load-bearing structure are integrated",0.3,IF(B58="finishing and main load-bearing structure are separated",0.9,0))</f>
        <v>0.9</v>
      </c>
      <c r="I58" s="44">
        <f>IF(B58="finishing and main load-bearing structure are integrated",0.3,IF(B58="finishing and main load-bearing structure are separated",0.9,0))</f>
        <v>0.9</v>
      </c>
      <c r="J58" s="93">
        <f t="shared" si="0"/>
        <v>0.9</v>
      </c>
      <c r="AB58" t="s">
        <v>56</v>
      </c>
    </row>
    <row r="59" spans="1:28" x14ac:dyDescent="0.7">
      <c r="AB59" t="s">
        <v>57</v>
      </c>
    </row>
    <row r="61" spans="1:28" x14ac:dyDescent="0.7">
      <c r="AB61" t="s">
        <v>58</v>
      </c>
    </row>
    <row r="62" spans="1:28" x14ac:dyDescent="0.7">
      <c r="AB62" t="s">
        <v>59</v>
      </c>
    </row>
    <row r="64" spans="1:28" x14ac:dyDescent="0.7">
      <c r="AB64" t="s">
        <v>60</v>
      </c>
    </row>
    <row r="65" spans="27:28" x14ac:dyDescent="0.7">
      <c r="AB65" t="s">
        <v>61</v>
      </c>
    </row>
    <row r="67" spans="27:28" x14ac:dyDescent="0.7">
      <c r="AA67" t="s">
        <v>111</v>
      </c>
      <c r="AB67" s="31" t="s">
        <v>31</v>
      </c>
    </row>
    <row r="68" spans="27:28" x14ac:dyDescent="0.7">
      <c r="AB68" s="31" t="s">
        <v>32</v>
      </c>
    </row>
    <row r="69" spans="27:28" x14ac:dyDescent="0.7">
      <c r="AB69" t="s">
        <v>34</v>
      </c>
    </row>
    <row r="70" spans="27:28" x14ac:dyDescent="0.7">
      <c r="AB70" t="s">
        <v>31</v>
      </c>
    </row>
    <row r="71" spans="27:28" x14ac:dyDescent="0.7">
      <c r="AB71" t="s">
        <v>34</v>
      </c>
    </row>
  </sheetData>
  <dataValidations count="18">
    <dataValidation type="list" allowBlank="1" showInputMessage="1" showErrorMessage="1" sqref="B4" xr:uid="{00000000-0002-0000-0000-000000000000}">
      <formula1>$AB$13:$AB$15</formula1>
    </dataValidation>
    <dataValidation type="list" allowBlank="1" showInputMessage="1" showErrorMessage="1" sqref="B7" xr:uid="{00000000-0002-0000-0000-000001000000}">
      <formula1>$AB$17:$AB$22</formula1>
    </dataValidation>
    <dataValidation type="list" allowBlank="1" showInputMessage="1" showErrorMessage="1" sqref="B41" xr:uid="{00000000-0002-0000-0000-000002000000}">
      <formula1>$AB$23:$AB$24</formula1>
    </dataValidation>
    <dataValidation type="list" allowBlank="1" showInputMessage="1" showErrorMessage="1" sqref="B17" xr:uid="{00000000-0002-0000-0000-000003000000}">
      <formula1>$AB$26:$AB$28</formula1>
    </dataValidation>
    <dataValidation type="list" allowBlank="1" showInputMessage="1" showErrorMessage="1" sqref="D20" xr:uid="{00000000-0002-0000-0000-000004000000}">
      <formula1>$AB$30:$AB$31</formula1>
    </dataValidation>
    <dataValidation type="list" allowBlank="1" showInputMessage="1" showErrorMessage="1" sqref="B23" xr:uid="{00000000-0002-0000-0000-000005000000}">
      <formula1>$AB$33:$AB$35</formula1>
    </dataValidation>
    <dataValidation type="list" allowBlank="1" showInputMessage="1" showErrorMessage="1" sqref="B26" xr:uid="{00000000-0002-0000-0000-000006000000}">
      <formula1>$AB$36:$AB$39</formula1>
    </dataValidation>
    <dataValidation type="list" allowBlank="1" showInputMessage="1" showErrorMessage="1" sqref="B29" xr:uid="{00000000-0002-0000-0000-000007000000}">
      <formula1>$AB$40:$AB$41</formula1>
    </dataValidation>
    <dataValidation type="list" allowBlank="1" showInputMessage="1" showErrorMessage="1" sqref="B44" xr:uid="{00000000-0002-0000-0000-000008000000}">
      <formula1>$AB$43:$AB$44</formula1>
    </dataValidation>
    <dataValidation type="list" allowBlank="1" showInputMessage="1" showErrorMessage="1" sqref="D44" xr:uid="{00000000-0002-0000-0000-000009000000}">
      <formula1>$AB$46:$AB$47</formula1>
    </dataValidation>
    <dataValidation type="list" allowBlank="1" showInputMessage="1" showErrorMessage="1" sqref="B53" xr:uid="{00000000-0002-0000-0000-00000A000000}">
      <formula1>$AB$49:$AB$50</formula1>
    </dataValidation>
    <dataValidation type="list" allowBlank="1" showInputMessage="1" showErrorMessage="1" sqref="B54" xr:uid="{00000000-0002-0000-0000-00000B000000}">
      <formula1>$AB$52:$AB$53</formula1>
    </dataValidation>
    <dataValidation type="list" allowBlank="1" showInputMessage="1" showErrorMessage="1" sqref="B55" xr:uid="{00000000-0002-0000-0000-00000C000000}">
      <formula1>$AB$55:$AB$56</formula1>
    </dataValidation>
    <dataValidation type="list" allowBlank="1" showInputMessage="1" showErrorMessage="1" sqref="B56" xr:uid="{00000000-0002-0000-0000-00000D000000}">
      <formula1>$AB$58:$AB$59</formula1>
    </dataValidation>
    <dataValidation type="list" allowBlank="1" showInputMessage="1" showErrorMessage="1" sqref="B57" xr:uid="{00000000-0002-0000-0000-00000E000000}">
      <formula1>$AB$61:$AB$62</formula1>
    </dataValidation>
    <dataValidation type="list" allowBlank="1" showInputMessage="1" showErrorMessage="1" sqref="B58" xr:uid="{00000000-0002-0000-0000-00000F000000}">
      <formula1>$AB$64:$AB$65</formula1>
    </dataValidation>
    <dataValidation type="list" allowBlank="1" showInputMessage="1" showErrorMessage="1" sqref="B32" xr:uid="{00000000-0002-0000-0000-000010000000}">
      <formula1>$AB$67:$AB$69</formula1>
    </dataValidation>
    <dataValidation type="list" allowBlank="1" showInputMessage="1" showErrorMessage="1" sqref="B38" xr:uid="{00000000-0002-0000-0000-000011000000}">
      <formula1>$AB$70:$AB$71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"/>
  <sheetViews>
    <sheetView showGridLines="0" zoomScale="50" zoomScaleNormal="50" workbookViewId="0">
      <selection activeCell="B43" sqref="B43"/>
    </sheetView>
  </sheetViews>
  <sheetFormatPr defaultRowHeight="14.4" x14ac:dyDescent="0.55000000000000004"/>
  <cols>
    <col min="1" max="1" width="19.15625" customWidth="1"/>
    <col min="4" max="4" width="9.15625" hidden="1" customWidth="1"/>
    <col min="5" max="5" width="9.15625" customWidth="1"/>
  </cols>
  <sheetData>
    <row r="1" spans="1:23" ht="58.5" customHeight="1" x14ac:dyDescent="2.2000000000000002">
      <c r="B1" s="50" t="s">
        <v>113</v>
      </c>
    </row>
    <row r="2" spans="1:23" x14ac:dyDescent="0.55000000000000004">
      <c r="B2" t="s">
        <v>84</v>
      </c>
      <c r="C2" t="e">
        <f>(#REF!*1.5)+#REF!/2</f>
        <v>#REF!</v>
      </c>
    </row>
    <row r="3" spans="1:23" x14ac:dyDescent="0.55000000000000004">
      <c r="B3" t="s">
        <v>134</v>
      </c>
      <c r="C3" t="s">
        <v>134</v>
      </c>
      <c r="O3" t="s">
        <v>134</v>
      </c>
      <c r="R3" t="s">
        <v>134</v>
      </c>
    </row>
    <row r="4" spans="1:23" x14ac:dyDescent="0.55000000000000004">
      <c r="B4" s="15" t="s">
        <v>64</v>
      </c>
      <c r="C4" s="15" t="s">
        <v>65</v>
      </c>
      <c r="D4" s="1"/>
      <c r="E4" s="1" t="s">
        <v>125</v>
      </c>
      <c r="F4" s="15" t="s">
        <v>66</v>
      </c>
      <c r="G4" s="15" t="s">
        <v>67</v>
      </c>
      <c r="H4" s="15" t="s">
        <v>68</v>
      </c>
      <c r="I4" s="15" t="s">
        <v>70</v>
      </c>
      <c r="J4" s="15" t="s">
        <v>72</v>
      </c>
      <c r="K4" s="15" t="s">
        <v>73</v>
      </c>
      <c r="L4" s="15" t="s">
        <v>97</v>
      </c>
      <c r="M4" s="15" t="s">
        <v>98</v>
      </c>
      <c r="N4" s="15" t="s">
        <v>99</v>
      </c>
      <c r="O4" s="15" t="s">
        <v>100</v>
      </c>
      <c r="P4" s="15" t="s">
        <v>101</v>
      </c>
      <c r="Q4" s="15" t="s">
        <v>102</v>
      </c>
      <c r="R4" s="29" t="s">
        <v>103</v>
      </c>
      <c r="S4" s="21" t="s">
        <v>104</v>
      </c>
    </row>
    <row r="5" spans="1:23" ht="99" x14ac:dyDescent="0.55000000000000004">
      <c r="B5" s="16" t="s">
        <v>3</v>
      </c>
      <c r="C5" s="17" t="s">
        <v>108</v>
      </c>
      <c r="D5" s="5" t="s">
        <v>85</v>
      </c>
      <c r="E5" s="100" t="s">
        <v>126</v>
      </c>
      <c r="F5" s="18" t="s">
        <v>20</v>
      </c>
      <c r="G5" s="18" t="s">
        <v>21</v>
      </c>
      <c r="H5" s="18" t="s">
        <v>27</v>
      </c>
      <c r="I5" s="18" t="s">
        <v>30</v>
      </c>
      <c r="J5" s="18" t="s">
        <v>33</v>
      </c>
      <c r="K5" s="18" t="s">
        <v>35</v>
      </c>
      <c r="L5" s="19" t="s">
        <v>62</v>
      </c>
      <c r="M5" s="19" t="s">
        <v>107</v>
      </c>
      <c r="N5" s="19" t="s">
        <v>63</v>
      </c>
      <c r="O5" s="19" t="s">
        <v>133</v>
      </c>
      <c r="P5" s="20" t="s">
        <v>42</v>
      </c>
      <c r="Q5" s="20" t="s">
        <v>106</v>
      </c>
      <c r="R5" s="30" t="s">
        <v>105</v>
      </c>
      <c r="S5" s="22" t="s">
        <v>49</v>
      </c>
    </row>
    <row r="6" spans="1:23" x14ac:dyDescent="0.55000000000000004">
      <c r="B6" s="9"/>
      <c r="C6" s="9"/>
      <c r="D6" s="6"/>
      <c r="E6" s="7"/>
      <c r="F6" s="6"/>
      <c r="G6" s="6"/>
      <c r="H6" s="6"/>
      <c r="I6" s="6"/>
      <c r="J6" s="6"/>
      <c r="K6" s="6"/>
      <c r="L6" s="6"/>
      <c r="M6" s="6"/>
      <c r="N6" s="6"/>
      <c r="O6" s="6"/>
      <c r="P6" s="7"/>
      <c r="Q6" s="7"/>
      <c r="R6" s="8"/>
      <c r="S6" s="7"/>
    </row>
    <row r="7" spans="1:23" x14ac:dyDescent="0.55000000000000004">
      <c r="B7" s="97" t="s">
        <v>86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6" t="s">
        <v>87</v>
      </c>
      <c r="Q7" s="96"/>
      <c r="R7" s="96"/>
      <c r="S7" s="96"/>
      <c r="U7" s="23" t="s">
        <v>88</v>
      </c>
      <c r="V7" s="24" t="s">
        <v>89</v>
      </c>
      <c r="W7" s="4" t="s">
        <v>90</v>
      </c>
    </row>
    <row r="8" spans="1:23" x14ac:dyDescent="0.55000000000000004">
      <c r="A8" s="14" t="s">
        <v>91</v>
      </c>
      <c r="B8" s="14">
        <v>4</v>
      </c>
      <c r="C8" s="14">
        <v>4</v>
      </c>
      <c r="D8" s="14">
        <v>4</v>
      </c>
      <c r="E8" s="14">
        <v>2</v>
      </c>
      <c r="F8" s="14">
        <v>2</v>
      </c>
      <c r="G8" s="14">
        <v>2</v>
      </c>
      <c r="H8" s="14">
        <v>2</v>
      </c>
      <c r="I8" s="14">
        <v>2</v>
      </c>
      <c r="J8" s="14">
        <v>2</v>
      </c>
      <c r="K8" s="14">
        <v>2</v>
      </c>
      <c r="L8" s="14">
        <v>2</v>
      </c>
      <c r="M8" s="14">
        <v>2</v>
      </c>
      <c r="N8" s="14">
        <v>2</v>
      </c>
      <c r="O8" s="14">
        <v>2</v>
      </c>
      <c r="P8" s="14">
        <v>1</v>
      </c>
      <c r="Q8" s="14">
        <v>1</v>
      </c>
      <c r="R8" s="14">
        <v>2</v>
      </c>
      <c r="S8" s="14">
        <v>1</v>
      </c>
      <c r="U8">
        <f>SUM(B8:S8)</f>
        <v>39</v>
      </c>
    </row>
    <row r="9" spans="1:23" x14ac:dyDescent="0.55000000000000004">
      <c r="A9" s="25" t="s">
        <v>93</v>
      </c>
      <c r="B9">
        <f>'TC input'!G4</f>
        <v>0.9</v>
      </c>
      <c r="C9">
        <f>'TC input'!G7</f>
        <v>0.5</v>
      </c>
      <c r="E9">
        <f>'TC input'!G11</f>
        <v>0.1</v>
      </c>
      <c r="F9">
        <f>'TC input'!G14</f>
        <v>0.9</v>
      </c>
      <c r="G9">
        <f>'TC input'!G17</f>
        <v>0.9</v>
      </c>
      <c r="H9">
        <f>'TC input'!G20</f>
        <v>0.9</v>
      </c>
      <c r="I9">
        <f>'TC input'!G23</f>
        <v>0.9</v>
      </c>
      <c r="J9">
        <f>'TC input'!G26</f>
        <v>0.7</v>
      </c>
      <c r="K9">
        <f>'TC input'!G29</f>
        <v>0.3</v>
      </c>
      <c r="L9">
        <f>'TC input'!G32</f>
        <v>0.3</v>
      </c>
      <c r="M9">
        <f>'TC input'!G35</f>
        <v>0.1</v>
      </c>
      <c r="N9">
        <f>'TC input'!G38</f>
        <v>0.7</v>
      </c>
      <c r="O9">
        <f>'TC input'!G41</f>
        <v>0.7</v>
      </c>
      <c r="P9">
        <f>'TC input'!G44</f>
        <v>0.9</v>
      </c>
      <c r="Q9">
        <f>'TC input'!G47</f>
        <v>0.3</v>
      </c>
      <c r="R9">
        <f>'TC input'!G50</f>
        <v>0.9</v>
      </c>
      <c r="S9" s="2">
        <f>AVERAGE('TC input'!G53:G58)</f>
        <v>0.83333333333333348</v>
      </c>
      <c r="U9">
        <f>IF(B9=0.1,0.1,IF(C9=0.1,0.1,IF(D9=0.1,0.1,MROUND(((B9*$B$8)+(C9*$C$8)+(D9*$D$8)+F9*$F$8+G9*$G$8+H9*$H$8+I9*$I$8+J9*$J$8+L9*$L$8+M9*$M$8+N9*$N$8+O9*$O$8)/SUM($B$8:$O$8),0.1))))</f>
        <v>0.5</v>
      </c>
      <c r="V9">
        <f>IF(R9=0.1,0.1,MROUND((P9*$P$8+(Q9*$Q$8)+R9*$R$8+S9*$S$8)/SUM($P$8:$S$8),0.1))</f>
        <v>0.8</v>
      </c>
      <c r="W9">
        <f>IF(U9=0.1,0.1,MROUND((U9*SUM($B$8:$O$8)+V9*SUM($P$8:$S$8))/SUM($B$8:$S$8),0.1))</f>
        <v>0.5</v>
      </c>
    </row>
    <row r="10" spans="1:23" x14ac:dyDescent="0.55000000000000004">
      <c r="A10" s="27" t="s">
        <v>92</v>
      </c>
      <c r="B10">
        <f>'TC input'!H4</f>
        <v>0.7</v>
      </c>
      <c r="C10">
        <f>'TC input'!H7</f>
        <v>0.5</v>
      </c>
      <c r="E10">
        <f>'TC input'!H11</f>
        <v>0.1</v>
      </c>
      <c r="F10">
        <f>'TC input'!H14</f>
        <v>0.9</v>
      </c>
      <c r="G10">
        <f>'TC input'!H17</f>
        <v>0.9</v>
      </c>
      <c r="H10">
        <f>'TC input'!H20</f>
        <v>0.9</v>
      </c>
      <c r="I10">
        <f>'TC input'!H23</f>
        <v>0.9</v>
      </c>
      <c r="J10">
        <f>'TC input'!H26</f>
        <v>0.7</v>
      </c>
      <c r="K10">
        <f>'TC input'!H29</f>
        <v>0.3</v>
      </c>
      <c r="L10">
        <f>'TC input'!H32</f>
        <v>0.3</v>
      </c>
      <c r="M10">
        <f>'TC input'!H35</f>
        <v>0.9</v>
      </c>
      <c r="N10">
        <f>'TC input'!H38</f>
        <v>0.7</v>
      </c>
      <c r="O10">
        <f>'TC input'!H41</f>
        <v>0.3</v>
      </c>
      <c r="P10">
        <f>'TC input'!H44</f>
        <v>0.9</v>
      </c>
      <c r="Q10">
        <f>'TC input'!H47</f>
        <v>0.1</v>
      </c>
      <c r="R10">
        <f>'TC input'!H50</f>
        <v>0.9</v>
      </c>
      <c r="S10" s="2">
        <f>AVERAGE('TC input'!H53:H58)</f>
        <v>0.83333333333333348</v>
      </c>
      <c r="U10">
        <f>IF(B10=0.1,0.1,IF(C10=0.1,0.1,IF(D10=0.1,0.1,MROUND(((B10*$B$8)+(C10*$C$8)+(D10*$D$8)+F10*$F$8+G10*$G$8+H10*$H$8+I10*$I$8+J10*$J$8+L10*$L$8+M10*$M$8+N10*$N$8+O10*$O$8)/SUM($B$8:$O$8),0.1))))</f>
        <v>0.5</v>
      </c>
      <c r="V10">
        <f>IF(R10=0.1,0.1,MROUND((P10*$P$8+(Q10*$Q$8)+R10*$R$8+S10*$S$8)/SUM($P$8:$S$8),0.1))</f>
        <v>0.70000000000000007</v>
      </c>
      <c r="W10">
        <f>IF(U10=0.1,0.1,MROUND((U10*SUM($B$8:$O$8)+V10*SUM($P$8:$S$8))/SUM($B$8:$S$8),0.1))</f>
        <v>0.5</v>
      </c>
    </row>
    <row r="11" spans="1:23" x14ac:dyDescent="0.55000000000000004">
      <c r="A11" s="26" t="s">
        <v>94</v>
      </c>
      <c r="B11">
        <f>'TC input'!I4</f>
        <v>0.5</v>
      </c>
      <c r="C11">
        <f>'TC input'!I7</f>
        <v>0.5</v>
      </c>
      <c r="E11">
        <f>'TC input'!I11</f>
        <v>0.1</v>
      </c>
      <c r="F11">
        <f>'TC input'!I14</f>
        <v>0.9</v>
      </c>
      <c r="G11">
        <f>'TC input'!I17</f>
        <v>0.9</v>
      </c>
      <c r="H11">
        <f>'TC input'!I20</f>
        <v>0.9</v>
      </c>
      <c r="I11">
        <f>'TC input'!I23</f>
        <v>0.9</v>
      </c>
      <c r="J11">
        <f>'TC input'!I26</f>
        <v>0.7</v>
      </c>
      <c r="K11">
        <f>'TC input'!I29</f>
        <v>0.3</v>
      </c>
      <c r="L11">
        <f>'TC input'!I32</f>
        <v>0.3</v>
      </c>
      <c r="M11">
        <f>'TC input'!I35</f>
        <v>0.9</v>
      </c>
      <c r="N11">
        <f>'TC input'!I38</f>
        <v>0.7</v>
      </c>
      <c r="O11">
        <f>'TC input'!I41</f>
        <v>0.1</v>
      </c>
      <c r="P11">
        <f>'TC input'!I44</f>
        <v>0.9</v>
      </c>
      <c r="Q11">
        <f>'TC input'!I47</f>
        <v>0.1</v>
      </c>
      <c r="R11">
        <f>'TC input'!I50</f>
        <v>0.9</v>
      </c>
      <c r="S11" s="2">
        <f>AVERAGE('TC input'!I53:I58)</f>
        <v>0.83333333333333348</v>
      </c>
      <c r="U11" s="13">
        <f>IF(B11=0.1,0.1,IF(C11=0.1,0.1,IF(D11=0.1,0.1,MROUND(((B11*$B$8)+(C11*$C$8)+(D11*$D$8)+F11*$F$8+G11*$G$8+H11*$H$8+I11*$I$8+J11*$J$8+L11*$L$8+M11*$M$8+N11*$N$8+O11*$O$8)/SUM($B$8:$O$8),0.1))))</f>
        <v>0.5</v>
      </c>
      <c r="V11" s="13">
        <f>IF(R11=0.1,0.1,MROUND((P11*$P$8+(Q11*$Q$8)+R11*$R$8+S11*$S$8)/SUM($P$8:$S$8),0.1))</f>
        <v>0.70000000000000007</v>
      </c>
      <c r="W11" s="13">
        <f>IF(U11=0.1,0.1,MROUND((U11*SUM($B$8:$O$8)+V11*SUM($P$8:$S$8))/SUM($B$8:$S$8),0.1))</f>
        <v>0.5</v>
      </c>
    </row>
    <row r="12" spans="1:23" x14ac:dyDescent="0.55000000000000004">
      <c r="A12" s="28" t="s">
        <v>95</v>
      </c>
      <c r="B12" s="11">
        <f>'TC input'!J4</f>
        <v>0.70000000000000007</v>
      </c>
      <c r="C12" s="11">
        <f>'TC input'!J7</f>
        <v>0.5</v>
      </c>
      <c r="D12" s="10"/>
      <c r="E12" s="10">
        <f>'TC input'!J11</f>
        <v>0.10000000000000002</v>
      </c>
      <c r="F12" s="10">
        <f>'TC input'!J14</f>
        <v>0.9</v>
      </c>
      <c r="G12" s="10">
        <f>'TC input'!J17</f>
        <v>0.9</v>
      </c>
      <c r="H12" s="10">
        <f>'TC input'!J20</f>
        <v>0.9</v>
      </c>
      <c r="I12" s="10">
        <f>'TC input'!J23</f>
        <v>0.9</v>
      </c>
      <c r="J12" s="10">
        <f>'TC input'!J26</f>
        <v>0.69999999999999984</v>
      </c>
      <c r="K12" s="10">
        <f>'TC input'!J29</f>
        <v>0.3</v>
      </c>
      <c r="L12" s="10">
        <f>'TC input'!J32</f>
        <v>0.3</v>
      </c>
      <c r="M12" s="11">
        <f>'TC input'!J35</f>
        <v>0.6333333333333333</v>
      </c>
      <c r="N12" s="10">
        <f>'TC input'!J38</f>
        <v>0.69999999999999984</v>
      </c>
      <c r="O12" s="12">
        <f>'TC input'!J41</f>
        <v>0.3666666666666667</v>
      </c>
      <c r="P12" s="10">
        <f>'TC input'!J44</f>
        <v>0.9</v>
      </c>
      <c r="Q12" s="11">
        <f>'TC input'!J47</f>
        <v>0.16666666666666666</v>
      </c>
      <c r="R12" s="11">
        <f>'TC input'!J50</f>
        <v>0.9</v>
      </c>
      <c r="S12" s="11">
        <f>AVERAGE('TC input'!J53:J58)</f>
        <v>0.83333333333333348</v>
      </c>
      <c r="U12">
        <f>IF(B12=0.1,0.1,IF(C12=0.1,0.1,IF(D12=0.1,0.1,IF(Q12=0.1,0.1,MROUND(((B12*$B$8)+(C12*$C$8)+(D12*$D$8)+F12*$F$8+G12*$G$8+H12*$H$8+I12*$I$8+J12*$J$8+L12*$L$8+M12*$M$8+N12*$N$8+O12*$O$8)/SUM($B$8:$O$8),0.1)))))</f>
        <v>0.5</v>
      </c>
      <c r="V12">
        <f>IF(B12=0.1,0.1,IF(C12=0.1,0.1,IF(R12=0.1,0.1,IF(R12=0.2,0.2,MROUND((P12*$P$8+(Q12*$Q$8)+R12*$R$8+S12*$S$8)/SUM($P$8:$S$8),0.1)))))</f>
        <v>0.70000000000000007</v>
      </c>
      <c r="W12">
        <f>IF(U12=0.1,0.1,IF(O12=0.1,0.2,IF(R12=0.1,0.2,IF(V12=0.1,0.2,IF(R12=0.2,0.2,MROUND((U12*SUM($B$8:$O$8)+V12*SUM($P$8:$S$8))/SUM($B$8:$S$8),0.1))))))</f>
        <v>0.5</v>
      </c>
    </row>
  </sheetData>
  <mergeCells count="2">
    <mergeCell ref="P7:S7"/>
    <mergeCell ref="B7:O7"/>
  </mergeCells>
  <pageMargins left="0.7" right="0.7" top="0.75" bottom="0.75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TC output</vt:lpstr>
      <vt:lpstr>TC input</vt:lpstr>
      <vt:lpstr>TC anayse</vt:lpstr>
      <vt:lpstr>'TC output'!Afdrukbereik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Laat, P. de (ET)</dc:creator>
  <cp:lastModifiedBy>elmad</cp:lastModifiedBy>
  <cp:lastPrinted>2019-02-20T19:25:31Z</cp:lastPrinted>
  <dcterms:created xsi:type="dcterms:W3CDTF">2019-01-16T13:33:34Z</dcterms:created>
  <dcterms:modified xsi:type="dcterms:W3CDTF">2019-02-24T20:18:49Z</dcterms:modified>
</cp:coreProperties>
</file>